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3.xml" ContentType="application/vnd.openxmlformats-officedocument.themeOverride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2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charts/chart2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2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18" r:id="rId1"/>
    <sheet name="Figure28.1" sheetId="11" r:id="rId2"/>
    <sheet name="Figure28.2" sheetId="1" r:id="rId3"/>
    <sheet name="Figure28.7" sheetId="2" r:id="rId4"/>
    <sheet name="Graphing" sheetId="3" r:id="rId5"/>
    <sheet name="Outliers" sheetId="4" r:id="rId6"/>
    <sheet name="Water&amp;Sewer" sheetId="8" r:id="rId7"/>
    <sheet name="PIT" sheetId="9" r:id="rId8"/>
    <sheet name="Figures" sheetId="10" r:id="rId9"/>
    <sheet name="Figure28.10" sheetId="12" r:id="rId10"/>
    <sheet name="Figure28.11" sheetId="13" r:id="rId11"/>
    <sheet name="Figure 28.23" sheetId="16" r:id="rId12"/>
    <sheet name="LevelMAAnalysisPak" sheetId="5" r:id="rId13"/>
    <sheet name="LevelMA" sheetId="6" r:id="rId14"/>
    <sheet name="Figure28.14" sheetId="14" r:id="rId15"/>
    <sheet name="Figure28.15" sheetId="15" r:id="rId16"/>
    <sheet name="TrendMA  (2)" sheetId="7" r:id="rId17"/>
  </sheets>
  <definedNames>
    <definedName name="Figure28.1">Graphing!$H$11:$O$29</definedName>
    <definedName name="Figure28.10">LevelMAAnalysisPak!$H$10:$O$28</definedName>
    <definedName name="Figure28.11">LevelMAAnalysisPak!$BP$25:$BW$42</definedName>
    <definedName name="Figure28.12">LevelMAAnalysisPak!$R$13:$U$39</definedName>
    <definedName name="Figure28.15">'TrendMA  (2)'!$AB$11:$AI$29</definedName>
    <definedName name="Figure28.16">'TrendMA  (2)'!$R$1:$W$39</definedName>
    <definedName name="Figure28.19extended">LevelMA!$R$10:$X$39</definedName>
    <definedName name="Figure28.2">Outliers!$H$11:$O$28</definedName>
    <definedName name="Figure28.23">LevelMAAnalysisPak!$BP$61:$BW$79</definedName>
    <definedName name="Figure28.24extended">LevelMA!$R$10:$X$39</definedName>
    <definedName name="Figure28.5">Outliers!$F$37:$G$43</definedName>
    <definedName name="Figure28.7">Outliers!$Q$11:$X$28</definedName>
    <definedName name="Figure29.14">'TrendMA  (2)'!$H$11:$O$29</definedName>
    <definedName name="Figures28.8_28.9">Figures!$AQ$11:$AS$44</definedName>
    <definedName name="Table28.1">'Water&amp;Sewer'!$X$12:$AB$44</definedName>
    <definedName name="Table28.2">PIT!$A$2:$G$35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4" i="10" l="1"/>
  <c r="AS44" i="10" s="1"/>
  <c r="AR43" i="10"/>
  <c r="AS43" i="10" s="1"/>
  <c r="AR42" i="10"/>
  <c r="AS42" i="10" s="1"/>
  <c r="AR41" i="10"/>
  <c r="AS41" i="10" s="1"/>
  <c r="AR40" i="10"/>
  <c r="AS40" i="10" s="1"/>
  <c r="AR39" i="10"/>
  <c r="AS39" i="10" s="1"/>
  <c r="AR38" i="10"/>
  <c r="AS38" i="10" s="1"/>
  <c r="AR37" i="10"/>
  <c r="AS37" i="10" s="1"/>
  <c r="AR36" i="10"/>
  <c r="AS36" i="10" s="1"/>
  <c r="AR35" i="10"/>
  <c r="AS35" i="10" s="1"/>
  <c r="AR34" i="10"/>
  <c r="AS34" i="10" s="1"/>
  <c r="AR33" i="10"/>
  <c r="AS33" i="10" s="1"/>
  <c r="AR32" i="10"/>
  <c r="AS32" i="10" s="1"/>
  <c r="AR31" i="10"/>
  <c r="AS31" i="10" s="1"/>
  <c r="AR30" i="10"/>
  <c r="AS30" i="10" s="1"/>
  <c r="AR29" i="10"/>
  <c r="AS29" i="10" s="1"/>
  <c r="AR28" i="10"/>
  <c r="AS28" i="10" s="1"/>
  <c r="AR27" i="10"/>
  <c r="AS27" i="10" s="1"/>
  <c r="AR26" i="10"/>
  <c r="AS26" i="10" s="1"/>
  <c r="AR25" i="10"/>
  <c r="AS25" i="10" s="1"/>
  <c r="AR24" i="10"/>
  <c r="AS24" i="10" s="1"/>
  <c r="AR23" i="10"/>
  <c r="AS23" i="10" s="1"/>
  <c r="AR22" i="10"/>
  <c r="AS22" i="10" s="1"/>
  <c r="AR21" i="10"/>
  <c r="AS21" i="10" s="1"/>
  <c r="AR20" i="10"/>
  <c r="AS20" i="10" s="1"/>
  <c r="AR19" i="10"/>
  <c r="AS19" i="10" s="1"/>
  <c r="AR18" i="10"/>
  <c r="AS18" i="10" s="1"/>
  <c r="AR17" i="10"/>
  <c r="AS17" i="10" s="1"/>
  <c r="AR16" i="10"/>
  <c r="AS16" i="10" s="1"/>
  <c r="AR15" i="10"/>
  <c r="AS15" i="10" s="1"/>
  <c r="AR14" i="10"/>
  <c r="AS14" i="10" s="1"/>
  <c r="BM96" i="9"/>
  <c r="BL96" i="9"/>
  <c r="BM95" i="9"/>
  <c r="BM67" i="9" s="1"/>
  <c r="BL95" i="9"/>
  <c r="BM94" i="9"/>
  <c r="BL94" i="9"/>
  <c r="AH94" i="9"/>
  <c r="AG94" i="9"/>
  <c r="AF94" i="9"/>
  <c r="BM93" i="9"/>
  <c r="BL93" i="9"/>
  <c r="AR93" i="9"/>
  <c r="AQ93" i="9"/>
  <c r="AH93" i="9"/>
  <c r="AG93" i="9"/>
  <c r="AF93" i="9"/>
  <c r="BM92" i="9"/>
  <c r="BL92" i="9"/>
  <c r="AR92" i="9"/>
  <c r="AQ92" i="9"/>
  <c r="AH92" i="9"/>
  <c r="AG92" i="9"/>
  <c r="AF92" i="9"/>
  <c r="BM91" i="9"/>
  <c r="BL91" i="9"/>
  <c r="AR91" i="9"/>
  <c r="AQ91" i="9"/>
  <c r="AH91" i="9"/>
  <c r="AG91" i="9"/>
  <c r="AF91" i="9"/>
  <c r="BM90" i="9"/>
  <c r="BL90" i="9"/>
  <c r="AR90" i="9"/>
  <c r="AQ90" i="9"/>
  <c r="AH90" i="9"/>
  <c r="AG90" i="9"/>
  <c r="AF90" i="9"/>
  <c r="BM89" i="9"/>
  <c r="BL89" i="9"/>
  <c r="AR89" i="9"/>
  <c r="AQ89" i="9"/>
  <c r="AH89" i="9"/>
  <c r="AG89" i="9"/>
  <c r="AF89" i="9"/>
  <c r="BM88" i="9"/>
  <c r="BL88" i="9"/>
  <c r="AR88" i="9"/>
  <c r="AQ88" i="9"/>
  <c r="AH88" i="9"/>
  <c r="AG88" i="9"/>
  <c r="AF88" i="9"/>
  <c r="BM87" i="9"/>
  <c r="BL87" i="9"/>
  <c r="AR87" i="9"/>
  <c r="AQ87" i="9"/>
  <c r="AH87" i="9"/>
  <c r="AG87" i="9"/>
  <c r="AF87" i="9"/>
  <c r="BM86" i="9"/>
  <c r="BL86" i="9"/>
  <c r="AR86" i="9"/>
  <c r="AQ86" i="9"/>
  <c r="AH86" i="9"/>
  <c r="AG86" i="9"/>
  <c r="AF86" i="9"/>
  <c r="BM85" i="9"/>
  <c r="BL85" i="9"/>
  <c r="AR85" i="9"/>
  <c r="AQ85" i="9"/>
  <c r="AH85" i="9"/>
  <c r="AG85" i="9"/>
  <c r="AF85" i="9"/>
  <c r="BM84" i="9"/>
  <c r="BL84" i="9"/>
  <c r="AR84" i="9"/>
  <c r="AQ84" i="9"/>
  <c r="AH84" i="9"/>
  <c r="AG84" i="9"/>
  <c r="AF84" i="9"/>
  <c r="BM83" i="9"/>
  <c r="BL83" i="9"/>
  <c r="AR83" i="9"/>
  <c r="AQ83" i="9"/>
  <c r="AH83" i="9"/>
  <c r="AG83" i="9"/>
  <c r="AF83" i="9"/>
  <c r="BM82" i="9"/>
  <c r="BL82" i="9"/>
  <c r="AR82" i="9"/>
  <c r="AQ82" i="9"/>
  <c r="AH82" i="9"/>
  <c r="AG82" i="9"/>
  <c r="AF82" i="9"/>
  <c r="BM81" i="9"/>
  <c r="BL81" i="9"/>
  <c r="AR81" i="9"/>
  <c r="AQ81" i="9"/>
  <c r="AH81" i="9"/>
  <c r="AG81" i="9"/>
  <c r="AF81" i="9"/>
  <c r="BM80" i="9"/>
  <c r="BL80" i="9"/>
  <c r="AR80" i="9"/>
  <c r="AQ80" i="9"/>
  <c r="AH80" i="9"/>
  <c r="AG80" i="9"/>
  <c r="AF80" i="9"/>
  <c r="BM79" i="9"/>
  <c r="BL79" i="9"/>
  <c r="AR79" i="9"/>
  <c r="AQ79" i="9"/>
  <c r="AH79" i="9"/>
  <c r="AG79" i="9"/>
  <c r="AF79" i="9"/>
  <c r="BM78" i="9"/>
  <c r="BL78" i="9"/>
  <c r="AR78" i="9"/>
  <c r="AQ78" i="9"/>
  <c r="AH78" i="9"/>
  <c r="AG78" i="9"/>
  <c r="AF78" i="9"/>
  <c r="BM77" i="9"/>
  <c r="BL77" i="9"/>
  <c r="AR77" i="9"/>
  <c r="AQ77" i="9"/>
  <c r="AH77" i="9"/>
  <c r="AG77" i="9"/>
  <c r="AF77" i="9"/>
  <c r="BM76" i="9"/>
  <c r="BL76" i="9"/>
  <c r="AR76" i="9"/>
  <c r="AQ76" i="9"/>
  <c r="AH76" i="9"/>
  <c r="AG76" i="9"/>
  <c r="AF76" i="9"/>
  <c r="BM75" i="9"/>
  <c r="BL75" i="9"/>
  <c r="AR75" i="9"/>
  <c r="AQ75" i="9"/>
  <c r="AH75" i="9"/>
  <c r="AG75" i="9"/>
  <c r="AF75" i="9"/>
  <c r="BM74" i="9"/>
  <c r="BL74" i="9"/>
  <c r="AR74" i="9"/>
  <c r="AQ74" i="9"/>
  <c r="AH74" i="9"/>
  <c r="AG74" i="9"/>
  <c r="AF74" i="9"/>
  <c r="BM73" i="9"/>
  <c r="BL73" i="9"/>
  <c r="AR73" i="9"/>
  <c r="AQ73" i="9"/>
  <c r="AH73" i="9"/>
  <c r="AG73" i="9"/>
  <c r="AF73" i="9"/>
  <c r="BM72" i="9"/>
  <c r="BL72" i="9"/>
  <c r="AR72" i="9"/>
  <c r="AQ72" i="9"/>
  <c r="AH72" i="9"/>
  <c r="AG72" i="9"/>
  <c r="AF72" i="9"/>
  <c r="BM71" i="9"/>
  <c r="BL71" i="9"/>
  <c r="AR71" i="9"/>
  <c r="AQ71" i="9"/>
  <c r="AH71" i="9"/>
  <c r="AG71" i="9"/>
  <c r="AF71" i="9"/>
  <c r="AF64" i="9" s="1"/>
  <c r="BM70" i="9"/>
  <c r="BL70" i="9"/>
  <c r="AR70" i="9"/>
  <c r="AQ70" i="9"/>
  <c r="AH70" i="9"/>
  <c r="AG70" i="9"/>
  <c r="AF70" i="9"/>
  <c r="BM69" i="9"/>
  <c r="BL69" i="9"/>
  <c r="AR69" i="9"/>
  <c r="AQ69" i="9"/>
  <c r="AH69" i="9"/>
  <c r="AG69" i="9"/>
  <c r="AF69" i="9"/>
  <c r="BM68" i="9"/>
  <c r="AR68" i="9"/>
  <c r="AQ68" i="9"/>
  <c r="AH68" i="9"/>
  <c r="AG68" i="9"/>
  <c r="AF68" i="9"/>
  <c r="AR67" i="9"/>
  <c r="AQ67" i="9"/>
  <c r="AH67" i="9"/>
  <c r="AG67" i="9"/>
  <c r="AF67" i="9"/>
  <c r="AR66" i="9"/>
  <c r="AQ66" i="9"/>
  <c r="AH66" i="9"/>
  <c r="AH64" i="9" s="1"/>
  <c r="AG66" i="9"/>
  <c r="AF66" i="9"/>
  <c r="AR65" i="9"/>
  <c r="AG65" i="9"/>
  <c r="AR39" i="9"/>
  <c r="AR38" i="9"/>
  <c r="AR37" i="9"/>
  <c r="AR36" i="9"/>
  <c r="T35" i="9"/>
  <c r="Z35" i="9" s="1"/>
  <c r="O35" i="9"/>
  <c r="N35" i="9"/>
  <c r="C35" i="9"/>
  <c r="AO34" i="9"/>
  <c r="Z34" i="9"/>
  <c r="Y34" i="9"/>
  <c r="T34" i="9"/>
  <c r="O34" i="9"/>
  <c r="N34" i="9"/>
  <c r="E34" i="9"/>
  <c r="C34" i="9"/>
  <c r="U34" i="9" s="1"/>
  <c r="AO33" i="9"/>
  <c r="Z33" i="9"/>
  <c r="X33" i="9"/>
  <c r="AO32" i="9" s="1"/>
  <c r="T33" i="9"/>
  <c r="O33" i="9"/>
  <c r="N33" i="9"/>
  <c r="C33" i="9"/>
  <c r="Z32" i="9"/>
  <c r="X32" i="9"/>
  <c r="AO31" i="9" s="1"/>
  <c r="T32" i="9"/>
  <c r="O32" i="9"/>
  <c r="N32" i="9"/>
  <c r="C32" i="9"/>
  <c r="Z31" i="9"/>
  <c r="X31" i="9"/>
  <c r="AO30" i="9" s="1"/>
  <c r="T31" i="9"/>
  <c r="O31" i="9"/>
  <c r="N31" i="9"/>
  <c r="C31" i="9"/>
  <c r="Z30" i="9"/>
  <c r="X30" i="9"/>
  <c r="AO29" i="9" s="1"/>
  <c r="T30" i="9"/>
  <c r="O30" i="9"/>
  <c r="N30" i="9"/>
  <c r="C30" i="9"/>
  <c r="Z29" i="9"/>
  <c r="X29" i="9"/>
  <c r="AO28" i="9" s="1"/>
  <c r="T29" i="9"/>
  <c r="O29" i="9"/>
  <c r="N29" i="9"/>
  <c r="C29" i="9"/>
  <c r="Z28" i="9"/>
  <c r="X28" i="9"/>
  <c r="AO27" i="9" s="1"/>
  <c r="T28" i="9"/>
  <c r="O28" i="9"/>
  <c r="N28" i="9"/>
  <c r="C28" i="9"/>
  <c r="Z27" i="9"/>
  <c r="X27" i="9"/>
  <c r="AO26" i="9" s="1"/>
  <c r="T27" i="9"/>
  <c r="O27" i="9"/>
  <c r="N27" i="9"/>
  <c r="C27" i="9"/>
  <c r="Z26" i="9"/>
  <c r="X26" i="9"/>
  <c r="AO25" i="9" s="1"/>
  <c r="T26" i="9"/>
  <c r="O26" i="9"/>
  <c r="N26" i="9"/>
  <c r="C26" i="9"/>
  <c r="Z25" i="9"/>
  <c r="X25" i="9"/>
  <c r="AO24" i="9" s="1"/>
  <c r="T25" i="9"/>
  <c r="O25" i="9"/>
  <c r="N25" i="9"/>
  <c r="C25" i="9"/>
  <c r="Z24" i="9"/>
  <c r="X24" i="9"/>
  <c r="AO23" i="9" s="1"/>
  <c r="T24" i="9"/>
  <c r="O24" i="9"/>
  <c r="N24" i="9"/>
  <c r="C24" i="9"/>
  <c r="Z23" i="9"/>
  <c r="X23" i="9"/>
  <c r="AO22" i="9" s="1"/>
  <c r="T23" i="9"/>
  <c r="O23" i="9"/>
  <c r="N23" i="9"/>
  <c r="C23" i="9"/>
  <c r="Z22" i="9"/>
  <c r="X22" i="9"/>
  <c r="AO21" i="9" s="1"/>
  <c r="U22" i="9"/>
  <c r="Y22" i="9" s="1"/>
  <c r="T22" i="9"/>
  <c r="O22" i="9"/>
  <c r="N22" i="9"/>
  <c r="G22" i="9"/>
  <c r="C22" i="9"/>
  <c r="E22" i="9" s="1"/>
  <c r="V22" i="9" s="1"/>
  <c r="Z21" i="9"/>
  <c r="X21" i="9"/>
  <c r="AO20" i="9" s="1"/>
  <c r="T21" i="9"/>
  <c r="O21" i="9"/>
  <c r="N21" i="9"/>
  <c r="C21" i="9"/>
  <c r="E21" i="9" s="1"/>
  <c r="V21" i="9" s="1"/>
  <c r="AA19" i="9" s="1"/>
  <c r="AA20" i="9"/>
  <c r="AB20" i="9" s="1"/>
  <c r="Z20" i="9"/>
  <c r="X20" i="9"/>
  <c r="AO19" i="9" s="1"/>
  <c r="T20" i="9"/>
  <c r="O20" i="9"/>
  <c r="N20" i="9"/>
  <c r="C20" i="9"/>
  <c r="E20" i="9" s="1"/>
  <c r="V20" i="9" s="1"/>
  <c r="AA18" i="9" s="1"/>
  <c r="Z19" i="9"/>
  <c r="X19" i="9"/>
  <c r="AO18" i="9" s="1"/>
  <c r="T19" i="9"/>
  <c r="O19" i="9"/>
  <c r="N19" i="9"/>
  <c r="C19" i="9"/>
  <c r="E19" i="9" s="1"/>
  <c r="V19" i="9" s="1"/>
  <c r="AA17" i="9" s="1"/>
  <c r="AB17" i="9" s="1"/>
  <c r="Z18" i="9"/>
  <c r="X18" i="9"/>
  <c r="U18" i="9"/>
  <c r="Y18" i="9" s="1"/>
  <c r="T18" i="9"/>
  <c r="O18" i="9"/>
  <c r="N18" i="9"/>
  <c r="G18" i="9"/>
  <c r="C18" i="9"/>
  <c r="E18" i="9" s="1"/>
  <c r="V18" i="9" s="1"/>
  <c r="AA16" i="9" s="1"/>
  <c r="AO17" i="9"/>
  <c r="X17" i="9"/>
  <c r="T17" i="9"/>
  <c r="Z17" i="9" s="1"/>
  <c r="O17" i="9"/>
  <c r="N17" i="9"/>
  <c r="C17" i="9"/>
  <c r="AO16" i="9"/>
  <c r="AB16" i="9"/>
  <c r="X16" i="9"/>
  <c r="T16" i="9"/>
  <c r="Z16" i="9" s="1"/>
  <c r="O16" i="9"/>
  <c r="N16" i="9"/>
  <c r="C16" i="9"/>
  <c r="U16" i="9" s="1"/>
  <c r="Y16" i="9" s="1"/>
  <c r="AO15" i="9"/>
  <c r="Y15" i="9"/>
  <c r="X15" i="9"/>
  <c r="T15" i="9"/>
  <c r="Z15" i="9" s="1"/>
  <c r="O15" i="9"/>
  <c r="N15" i="9"/>
  <c r="C15" i="9"/>
  <c r="U15" i="9" s="1"/>
  <c r="AO14" i="9"/>
  <c r="Y14" i="9"/>
  <c r="X14" i="9"/>
  <c r="AO13" i="9" s="1"/>
  <c r="T14" i="9"/>
  <c r="Z14" i="9" s="1"/>
  <c r="O14" i="9"/>
  <c r="N14" i="9"/>
  <c r="E14" i="9"/>
  <c r="C14" i="9"/>
  <c r="U14" i="9" s="1"/>
  <c r="X13" i="9"/>
  <c r="AO12" i="9" s="1"/>
  <c r="T13" i="9"/>
  <c r="Z13" i="9" s="1"/>
  <c r="O13" i="9"/>
  <c r="N13" i="9"/>
  <c r="E13" i="9"/>
  <c r="C13" i="9"/>
  <c r="U13" i="9" s="1"/>
  <c r="Y13" i="9" s="1"/>
  <c r="X12" i="9"/>
  <c r="T12" i="9"/>
  <c r="Z12" i="9" s="1"/>
  <c r="O12" i="9"/>
  <c r="N12" i="9"/>
  <c r="C12" i="9"/>
  <c r="AO11" i="9"/>
  <c r="Y11" i="9"/>
  <c r="X11" i="9"/>
  <c r="T11" i="9"/>
  <c r="Z11" i="9" s="1"/>
  <c r="O11" i="9"/>
  <c r="N11" i="9"/>
  <c r="C11" i="9"/>
  <c r="U11" i="9" s="1"/>
  <c r="AO10" i="9"/>
  <c r="Y10" i="9"/>
  <c r="X10" i="9"/>
  <c r="T10" i="9"/>
  <c r="Z10" i="9" s="1"/>
  <c r="O10" i="9"/>
  <c r="N10" i="9"/>
  <c r="E10" i="9"/>
  <c r="C10" i="9"/>
  <c r="U10" i="9" s="1"/>
  <c r="AO9" i="9"/>
  <c r="X9" i="9"/>
  <c r="T9" i="9"/>
  <c r="Z9" i="9" s="1"/>
  <c r="O9" i="9"/>
  <c r="N9" i="9"/>
  <c r="E9" i="9"/>
  <c r="C9" i="9"/>
  <c r="U9" i="9" s="1"/>
  <c r="Y9" i="9" s="1"/>
  <c r="AO8" i="9"/>
  <c r="X8" i="9"/>
  <c r="T8" i="9"/>
  <c r="Z8" i="9" s="1"/>
  <c r="O8" i="9"/>
  <c r="N8" i="9"/>
  <c r="C8" i="9"/>
  <c r="AO7" i="9"/>
  <c r="Y7" i="9"/>
  <c r="X7" i="9"/>
  <c r="T7" i="9"/>
  <c r="Z7" i="9" s="1"/>
  <c r="O7" i="9"/>
  <c r="N7" i="9"/>
  <c r="C7" i="9"/>
  <c r="U7" i="9" s="1"/>
  <c r="AO6" i="9"/>
  <c r="Y6" i="9"/>
  <c r="X6" i="9"/>
  <c r="AO5" i="9" s="1"/>
  <c r="T6" i="9"/>
  <c r="Z6" i="9" s="1"/>
  <c r="O6" i="9"/>
  <c r="N6" i="9"/>
  <c r="E6" i="9"/>
  <c r="C6" i="9"/>
  <c r="U6" i="9" s="1"/>
  <c r="X5" i="9"/>
  <c r="AO4" i="9" s="1"/>
  <c r="T5" i="9"/>
  <c r="Z5" i="9" s="1"/>
  <c r="O5" i="9"/>
  <c r="N5" i="9"/>
  <c r="E5" i="9"/>
  <c r="C5" i="9"/>
  <c r="U5" i="9" s="1"/>
  <c r="Y5" i="9" s="1"/>
  <c r="X4" i="9"/>
  <c r="T4" i="9"/>
  <c r="Z4" i="9" s="1"/>
  <c r="G4" i="9"/>
  <c r="E4" i="9"/>
  <c r="V4" i="9" s="1"/>
  <c r="C4" i="9"/>
  <c r="U4" i="9" s="1"/>
  <c r="Y4" i="9" s="1"/>
  <c r="AS3" i="9"/>
  <c r="AO3" i="9"/>
  <c r="AA3" i="9"/>
  <c r="Z3" i="9"/>
  <c r="AQ3" i="9" s="1"/>
  <c r="Y3" i="9"/>
  <c r="AP3" i="9" s="1"/>
  <c r="T3" i="9"/>
  <c r="M2" i="9"/>
  <c r="V5" i="9" l="1"/>
  <c r="G5" i="9"/>
  <c r="V6" i="9"/>
  <c r="AA4" i="9" s="1"/>
  <c r="AB4" i="9" s="1"/>
  <c r="G6" i="9"/>
  <c r="U12" i="9"/>
  <c r="Y12" i="9" s="1"/>
  <c r="E12" i="9"/>
  <c r="V13" i="9"/>
  <c r="AA11" i="9" s="1"/>
  <c r="G13" i="9"/>
  <c r="V14" i="9"/>
  <c r="AA12" i="9" s="1"/>
  <c r="G14" i="9"/>
  <c r="U8" i="9"/>
  <c r="Y8" i="9" s="1"/>
  <c r="E8" i="9"/>
  <c r="V9" i="9"/>
  <c r="AA7" i="9" s="1"/>
  <c r="G9" i="9"/>
  <c r="V10" i="9"/>
  <c r="AA8" i="9" s="1"/>
  <c r="G10" i="9"/>
  <c r="AB19" i="9"/>
  <c r="U17" i="9"/>
  <c r="Y17" i="9" s="1"/>
  <c r="E17" i="9"/>
  <c r="AB18" i="9"/>
  <c r="G21" i="9"/>
  <c r="U21" i="9"/>
  <c r="Y21" i="9" s="1"/>
  <c r="E25" i="9"/>
  <c r="U25" i="9"/>
  <c r="Y25" i="9" s="1"/>
  <c r="U35" i="9"/>
  <c r="Y35" i="9" s="1"/>
  <c r="E35" i="9"/>
  <c r="E16" i="9"/>
  <c r="G20" i="9"/>
  <c r="U20" i="9"/>
  <c r="Y20" i="9" s="1"/>
  <c r="E23" i="9"/>
  <c r="U23" i="9"/>
  <c r="Y23" i="9" s="1"/>
  <c r="E24" i="9"/>
  <c r="U24" i="9"/>
  <c r="Y24" i="9" s="1"/>
  <c r="AG64" i="9"/>
  <c r="AF63" i="9" s="1"/>
  <c r="AJ42" i="9" s="1"/>
  <c r="AR64" i="9"/>
  <c r="E7" i="9"/>
  <c r="E11" i="9"/>
  <c r="E15" i="9"/>
  <c r="G19" i="9"/>
  <c r="U19" i="9"/>
  <c r="Y19" i="9" s="1"/>
  <c r="BL67" i="9"/>
  <c r="BL66" i="9" s="1"/>
  <c r="BP45" i="9" s="1"/>
  <c r="U26" i="9"/>
  <c r="Y26" i="9" s="1"/>
  <c r="E26" i="9"/>
  <c r="U27" i="9"/>
  <c r="Y27" i="9" s="1"/>
  <c r="E27" i="9"/>
  <c r="U28" i="9"/>
  <c r="Y28" i="9" s="1"/>
  <c r="E28" i="9"/>
  <c r="U29" i="9"/>
  <c r="Y29" i="9" s="1"/>
  <c r="E29" i="9"/>
  <c r="U30" i="9"/>
  <c r="Y30" i="9" s="1"/>
  <c r="E30" i="9"/>
  <c r="U31" i="9"/>
  <c r="Y31" i="9" s="1"/>
  <c r="E31" i="9"/>
  <c r="U32" i="9"/>
  <c r="Y32" i="9" s="1"/>
  <c r="E32" i="9"/>
  <c r="U33" i="9"/>
  <c r="Y33" i="9" s="1"/>
  <c r="E33" i="9"/>
  <c r="AQ64" i="9"/>
  <c r="V34" i="9"/>
  <c r="AA32" i="9" s="1"/>
  <c r="G34" i="9"/>
  <c r="AP30" i="9" l="1"/>
  <c r="AP26" i="9"/>
  <c r="V11" i="9"/>
  <c r="AA9" i="9" s="1"/>
  <c r="G11" i="9"/>
  <c r="AP16" i="9"/>
  <c r="AS7" i="9"/>
  <c r="AB8" i="9"/>
  <c r="AB32" i="9"/>
  <c r="AS31" i="9"/>
  <c r="G30" i="9"/>
  <c r="V30" i="9"/>
  <c r="AA28" i="9" s="1"/>
  <c r="G26" i="9"/>
  <c r="V26" i="9"/>
  <c r="AA24" i="9" s="1"/>
  <c r="V25" i="9"/>
  <c r="AA23" i="9" s="1"/>
  <c r="G25" i="9"/>
  <c r="AB11" i="9"/>
  <c r="AS10" i="9"/>
  <c r="AQ63" i="9"/>
  <c r="AU42" i="9" s="1"/>
  <c r="AP27" i="9"/>
  <c r="AP25" i="9"/>
  <c r="V15" i="9"/>
  <c r="AA13" i="9" s="1"/>
  <c r="G15" i="9"/>
  <c r="V7" i="9"/>
  <c r="AA5" i="9" s="1"/>
  <c r="G7" i="9"/>
  <c r="V16" i="9"/>
  <c r="AA14" i="9" s="1"/>
  <c r="G16" i="9"/>
  <c r="V35" i="9"/>
  <c r="AA33" i="9" s="1"/>
  <c r="G35" i="9"/>
  <c r="AP20" i="9"/>
  <c r="AB7" i="9"/>
  <c r="V12" i="9"/>
  <c r="AA10" i="9" s="1"/>
  <c r="G12" i="9"/>
  <c r="AP32" i="9"/>
  <c r="AP22" i="9"/>
  <c r="AP24" i="9"/>
  <c r="G32" i="9"/>
  <c r="V32" i="9"/>
  <c r="AA30" i="9" s="1"/>
  <c r="G28" i="9"/>
  <c r="V28" i="9"/>
  <c r="AA26" i="9" s="1"/>
  <c r="V23" i="9"/>
  <c r="AA21" i="9" s="1"/>
  <c r="G23" i="9"/>
  <c r="AP33" i="9"/>
  <c r="G33" i="9"/>
  <c r="V33" i="9"/>
  <c r="AA31" i="9" s="1"/>
  <c r="G31" i="9"/>
  <c r="V31" i="9"/>
  <c r="AA29" i="9" s="1"/>
  <c r="G29" i="9"/>
  <c r="V29" i="9"/>
  <c r="AA27" i="9" s="1"/>
  <c r="G27" i="9"/>
  <c r="V27" i="9"/>
  <c r="AA25" i="9" s="1"/>
  <c r="AH63" i="9"/>
  <c r="AP12" i="9" s="1"/>
  <c r="V24" i="9"/>
  <c r="AA22" i="9" s="1"/>
  <c r="G24" i="9"/>
  <c r="AP19" i="9"/>
  <c r="AP34" i="9"/>
  <c r="V17" i="9"/>
  <c r="AA15" i="9" s="1"/>
  <c r="G17" i="9"/>
  <c r="V8" i="9"/>
  <c r="AA6" i="9" s="1"/>
  <c r="G8" i="9"/>
  <c r="AB12" i="9"/>
  <c r="AP11" i="9"/>
  <c r="AB6" i="9" l="1"/>
  <c r="AS5" i="9"/>
  <c r="AB25" i="9"/>
  <c r="AS24" i="9"/>
  <c r="AB29" i="9"/>
  <c r="AS28" i="9"/>
  <c r="AB5" i="9"/>
  <c r="AS4" i="9"/>
  <c r="AT26" i="9"/>
  <c r="AU26" i="9" s="1"/>
  <c r="AV26" i="9" s="1"/>
  <c r="AB14" i="9"/>
  <c r="AS13" i="9"/>
  <c r="AB24" i="9"/>
  <c r="AS23" i="9"/>
  <c r="AS11" i="9"/>
  <c r="AS15" i="9"/>
  <c r="AB15" i="9"/>
  <c r="AS14" i="9"/>
  <c r="AB22" i="9"/>
  <c r="AS21" i="9"/>
  <c r="AB27" i="9"/>
  <c r="AS26" i="9"/>
  <c r="AB31" i="9"/>
  <c r="AS30" i="9"/>
  <c r="AB21" i="9"/>
  <c r="AS20" i="9"/>
  <c r="AP18" i="9"/>
  <c r="AB10" i="9"/>
  <c r="AS9" i="9"/>
  <c r="AP23" i="9"/>
  <c r="AB13" i="9"/>
  <c r="AS12" i="9"/>
  <c r="AP29" i="9"/>
  <c r="AT29" i="9" s="1"/>
  <c r="AU29" i="9" s="1"/>
  <c r="AV29" i="9" s="1"/>
  <c r="AT24" i="9"/>
  <c r="AU24" i="9" s="1"/>
  <c r="AV24" i="9" s="1"/>
  <c r="AB23" i="9"/>
  <c r="AS22" i="9"/>
  <c r="AB30" i="9"/>
  <c r="AS29" i="9"/>
  <c r="AU93" i="9"/>
  <c r="AV93" i="9" s="1"/>
  <c r="AU89" i="9"/>
  <c r="AV89" i="9" s="1"/>
  <c r="AU85" i="9"/>
  <c r="AV85" i="9" s="1"/>
  <c r="AU81" i="9"/>
  <c r="AV81" i="9" s="1"/>
  <c r="AU77" i="9"/>
  <c r="AV77" i="9" s="1"/>
  <c r="AU73" i="9"/>
  <c r="AV73" i="9" s="1"/>
  <c r="AU69" i="9"/>
  <c r="AV69" i="9" s="1"/>
  <c r="AU68" i="9"/>
  <c r="AV68" i="9" s="1"/>
  <c r="AU65" i="9"/>
  <c r="AV65" i="9" s="1"/>
  <c r="AU92" i="9"/>
  <c r="AV92" i="9" s="1"/>
  <c r="AU88" i="9"/>
  <c r="AV88" i="9" s="1"/>
  <c r="AU84" i="9"/>
  <c r="AV84" i="9" s="1"/>
  <c r="AU80" i="9"/>
  <c r="AV80" i="9" s="1"/>
  <c r="AU76" i="9"/>
  <c r="AV76" i="9" s="1"/>
  <c r="AU72" i="9"/>
  <c r="AV72" i="9" s="1"/>
  <c r="AU67" i="9"/>
  <c r="AV67" i="9" s="1"/>
  <c r="AU66" i="9"/>
  <c r="AV66" i="9" s="1"/>
  <c r="AQ32" i="9"/>
  <c r="AT32" i="9" s="1"/>
  <c r="AU32" i="9" s="1"/>
  <c r="AV32" i="9" s="1"/>
  <c r="AQ31" i="9"/>
  <c r="AQ30" i="9"/>
  <c r="AT30" i="9" s="1"/>
  <c r="AU30" i="9" s="1"/>
  <c r="AV30" i="9" s="1"/>
  <c r="AQ29" i="9"/>
  <c r="AQ28" i="9"/>
  <c r="AQ27" i="9"/>
  <c r="AT27" i="9" s="1"/>
  <c r="AU27" i="9" s="1"/>
  <c r="AV27" i="9" s="1"/>
  <c r="AQ26" i="9"/>
  <c r="AQ25" i="9"/>
  <c r="AT25" i="9" s="1"/>
  <c r="AU25" i="9" s="1"/>
  <c r="AV25" i="9" s="1"/>
  <c r="AU91" i="9"/>
  <c r="AV91" i="9" s="1"/>
  <c r="AU87" i="9"/>
  <c r="AV87" i="9" s="1"/>
  <c r="AU83" i="9"/>
  <c r="AV83" i="9" s="1"/>
  <c r="AU79" i="9"/>
  <c r="AV79" i="9" s="1"/>
  <c r="AU75" i="9"/>
  <c r="AV75" i="9" s="1"/>
  <c r="AU71" i="9"/>
  <c r="AV71" i="9" s="1"/>
  <c r="AU90" i="9"/>
  <c r="AV90" i="9" s="1"/>
  <c r="AU82" i="9"/>
  <c r="AV82" i="9" s="1"/>
  <c r="AU74" i="9"/>
  <c r="AV74" i="9" s="1"/>
  <c r="AQ33" i="9"/>
  <c r="AT33" i="9" s="1"/>
  <c r="AU33" i="9" s="1"/>
  <c r="AV33" i="9" s="1"/>
  <c r="AQ24" i="9"/>
  <c r="AQ22" i="9"/>
  <c r="AT22" i="9" s="1"/>
  <c r="AU22" i="9" s="1"/>
  <c r="AV22" i="9" s="1"/>
  <c r="AQ18" i="9"/>
  <c r="AU86" i="9"/>
  <c r="AV86" i="9" s="1"/>
  <c r="AU78" i="9"/>
  <c r="AV78" i="9" s="1"/>
  <c r="AU70" i="9"/>
  <c r="AV70" i="9" s="1"/>
  <c r="AS16" i="9"/>
  <c r="AQ23" i="9"/>
  <c r="AQ21" i="9"/>
  <c r="AP5" i="9"/>
  <c r="AP13" i="9"/>
  <c r="AT13" i="9" s="1"/>
  <c r="AU13" i="9" s="1"/>
  <c r="AV13" i="9" s="1"/>
  <c r="AS18" i="9"/>
  <c r="AQ11" i="9"/>
  <c r="AT11" i="9" s="1"/>
  <c r="AU11" i="9" s="1"/>
  <c r="AV11" i="9" s="1"/>
  <c r="AQ14" i="9"/>
  <c r="AQ5" i="9"/>
  <c r="AQ13" i="9"/>
  <c r="AQ9" i="9"/>
  <c r="AP9" i="9"/>
  <c r="AT9" i="9" s="1"/>
  <c r="AU9" i="9" s="1"/>
  <c r="AV9" i="9" s="1"/>
  <c r="AQ15" i="9"/>
  <c r="AP10" i="9"/>
  <c r="AT10" i="9" s="1"/>
  <c r="AU10" i="9" s="1"/>
  <c r="AV10" i="9" s="1"/>
  <c r="AQ7" i="9"/>
  <c r="AP14" i="9"/>
  <c r="AT14" i="9" s="1"/>
  <c r="AU14" i="9" s="1"/>
  <c r="AV14" i="9" s="1"/>
  <c r="AQ16" i="9"/>
  <c r="AT16" i="9" s="1"/>
  <c r="AU16" i="9" s="1"/>
  <c r="AV16" i="9" s="1"/>
  <c r="AP4" i="9"/>
  <c r="AQ20" i="9"/>
  <c r="AT20" i="9" s="1"/>
  <c r="AU20" i="9" s="1"/>
  <c r="AV20" i="9" s="1"/>
  <c r="AP15" i="9"/>
  <c r="AP6" i="9"/>
  <c r="AT6" i="9" s="1"/>
  <c r="AU6" i="9" s="1"/>
  <c r="AV6" i="9" s="1"/>
  <c r="AQ4" i="9"/>
  <c r="AQ12" i="9"/>
  <c r="AT12" i="9" s="1"/>
  <c r="AU12" i="9" s="1"/>
  <c r="AV12" i="9" s="1"/>
  <c r="AS17" i="9"/>
  <c r="AQ6" i="9"/>
  <c r="AQ17" i="9"/>
  <c r="AP21" i="9"/>
  <c r="AT21" i="9" s="1"/>
  <c r="AU21" i="9" s="1"/>
  <c r="AV21" i="9" s="1"/>
  <c r="AQ19" i="9"/>
  <c r="AT19" i="9" s="1"/>
  <c r="AU19" i="9" s="1"/>
  <c r="AV19" i="9" s="1"/>
  <c r="AQ8" i="9"/>
  <c r="AS19" i="9"/>
  <c r="AQ10" i="9"/>
  <c r="AQ34" i="9"/>
  <c r="AT34" i="9" s="1"/>
  <c r="AU34" i="9" s="1"/>
  <c r="AV34" i="9" s="1"/>
  <c r="AB26" i="9"/>
  <c r="AS25" i="9"/>
  <c r="AP7" i="9"/>
  <c r="AT7" i="9" s="1"/>
  <c r="AU7" i="9" s="1"/>
  <c r="AV7" i="9" s="1"/>
  <c r="AP28" i="9"/>
  <c r="AS6" i="9"/>
  <c r="AB33" i="9"/>
  <c r="AS32" i="9"/>
  <c r="AP17" i="9"/>
  <c r="AT17" i="9" s="1"/>
  <c r="AU17" i="9" s="1"/>
  <c r="AV17" i="9" s="1"/>
  <c r="AP31" i="9"/>
  <c r="AT31" i="9" s="1"/>
  <c r="AU31" i="9" s="1"/>
  <c r="AV31" i="9" s="1"/>
  <c r="AB28" i="9"/>
  <c r="AS27" i="9"/>
  <c r="AB9" i="9"/>
  <c r="AS8" i="9"/>
  <c r="AP8" i="9"/>
  <c r="AT8" i="9" l="1"/>
  <c r="AU8" i="9" s="1"/>
  <c r="AV8" i="9" s="1"/>
  <c r="AT4" i="9"/>
  <c r="AU4" i="9" s="1"/>
  <c r="AV4" i="9" s="1"/>
  <c r="AT23" i="9"/>
  <c r="AU23" i="9" s="1"/>
  <c r="AV23" i="9" s="1"/>
  <c r="AT15" i="9"/>
  <c r="AU15" i="9" s="1"/>
  <c r="AV15" i="9" s="1"/>
  <c r="AT5" i="9"/>
  <c r="AU5" i="9" s="1"/>
  <c r="AV5" i="9" s="1"/>
  <c r="AT28" i="9"/>
  <c r="AU28" i="9" s="1"/>
  <c r="AV28" i="9" s="1"/>
  <c r="AT18" i="9"/>
  <c r="AU18" i="9" s="1"/>
  <c r="AV18" i="9" s="1"/>
  <c r="AD13" i="8" l="1"/>
  <c r="AQ13" i="8"/>
  <c r="AR13" i="8"/>
  <c r="E14" i="8"/>
  <c r="H14" i="8"/>
  <c r="K14" i="8"/>
  <c r="L14" i="8" s="1"/>
  <c r="AR14" i="8"/>
  <c r="AW14" i="8"/>
  <c r="E15" i="8"/>
  <c r="H15" i="8"/>
  <c r="K15" i="8"/>
  <c r="L15" i="8"/>
  <c r="M15" i="8"/>
  <c r="O15" i="8"/>
  <c r="P15" i="8" s="1"/>
  <c r="V15" i="8"/>
  <c r="Y15" i="8" s="1"/>
  <c r="AE14" i="8" s="1"/>
  <c r="X15" i="8"/>
  <c r="Z15" i="8"/>
  <c r="AF14" i="8" s="1"/>
  <c r="AA15" i="8"/>
  <c r="AB15" i="8"/>
  <c r="AE15" i="8"/>
  <c r="AW15" i="8"/>
  <c r="E16" i="8"/>
  <c r="H16" i="8"/>
  <c r="L16" i="8" s="1"/>
  <c r="K16" i="8"/>
  <c r="M16" i="8"/>
  <c r="O16" i="8"/>
  <c r="V16" i="8"/>
  <c r="X16" i="8"/>
  <c r="AD14" i="8" s="1"/>
  <c r="Y16" i="8"/>
  <c r="Z16" i="8"/>
  <c r="AF15" i="8" s="1"/>
  <c r="AA16" i="8"/>
  <c r="AB16" i="8"/>
  <c r="AG14" i="8" s="1"/>
  <c r="AW16" i="8"/>
  <c r="E17" i="8"/>
  <c r="H17" i="8"/>
  <c r="K17" i="8"/>
  <c r="L17" i="8" s="1"/>
  <c r="M17" i="8"/>
  <c r="X17" i="8" s="1"/>
  <c r="AD15" i="8" s="1"/>
  <c r="O17" i="8"/>
  <c r="P17" i="8"/>
  <c r="V17" i="8"/>
  <c r="AA17" i="8"/>
  <c r="AF17" i="8"/>
  <c r="AW17" i="8"/>
  <c r="E18" i="8"/>
  <c r="H18" i="8"/>
  <c r="L18" i="8" s="1"/>
  <c r="K18" i="8"/>
  <c r="M18" i="8"/>
  <c r="O18" i="8"/>
  <c r="V18" i="8"/>
  <c r="Y18" i="8" s="1"/>
  <c r="X18" i="8"/>
  <c r="AD16" i="8" s="1"/>
  <c r="Z18" i="8"/>
  <c r="AA18" i="8"/>
  <c r="AB18" i="8"/>
  <c r="AE18" i="8"/>
  <c r="AW18" i="8"/>
  <c r="E19" i="8"/>
  <c r="H19" i="8"/>
  <c r="K19" i="8"/>
  <c r="L19" i="8" s="1"/>
  <c r="Q19" i="8" s="1"/>
  <c r="M19" i="8"/>
  <c r="O19" i="8"/>
  <c r="P19" i="8"/>
  <c r="U19" i="8"/>
  <c r="V19" i="8" s="1"/>
  <c r="Y19" i="8" s="1"/>
  <c r="AP17" i="8" s="1"/>
  <c r="X19" i="8"/>
  <c r="AD17" i="8" s="1"/>
  <c r="AA19" i="8"/>
  <c r="AE19" i="8"/>
  <c r="AW19" i="8"/>
  <c r="E20" i="8"/>
  <c r="H20" i="8"/>
  <c r="K20" i="8"/>
  <c r="L20" i="8" s="1"/>
  <c r="Q20" i="8" s="1"/>
  <c r="S20" i="8" s="1"/>
  <c r="M20" i="8"/>
  <c r="O20" i="8"/>
  <c r="P20" i="8"/>
  <c r="R20" i="8" s="1"/>
  <c r="U20" i="8"/>
  <c r="V20" i="8" s="1"/>
  <c r="Y20" i="8" s="1"/>
  <c r="AP18" i="8" s="1"/>
  <c r="X20" i="8"/>
  <c r="AD18" i="8" s="1"/>
  <c r="AA20" i="8"/>
  <c r="AE20" i="8"/>
  <c r="AW20" i="8"/>
  <c r="E21" i="8"/>
  <c r="H21" i="8"/>
  <c r="K21" i="8"/>
  <c r="L21" i="8" s="1"/>
  <c r="Q21" i="8" s="1"/>
  <c r="S21" i="8" s="1"/>
  <c r="M21" i="8"/>
  <c r="O21" i="8"/>
  <c r="P21" i="8"/>
  <c r="R21" i="8" s="1"/>
  <c r="U21" i="8"/>
  <c r="V21" i="8" s="1"/>
  <c r="Y21" i="8" s="1"/>
  <c r="AP19" i="8" s="1"/>
  <c r="AX17" i="8" s="1"/>
  <c r="X21" i="8"/>
  <c r="AD19" i="8" s="1"/>
  <c r="AA21" i="8"/>
  <c r="AE21" i="8"/>
  <c r="AW21" i="8"/>
  <c r="E22" i="8"/>
  <c r="H22" i="8"/>
  <c r="K22" i="8"/>
  <c r="L22" i="8" s="1"/>
  <c r="Q22" i="8" s="1"/>
  <c r="S22" i="8" s="1"/>
  <c r="M22" i="8"/>
  <c r="O22" i="8"/>
  <c r="P22" i="8"/>
  <c r="R22" i="8" s="1"/>
  <c r="U22" i="8"/>
  <c r="V22" i="8" s="1"/>
  <c r="Y22" i="8" s="1"/>
  <c r="AP20" i="8" s="1"/>
  <c r="X22" i="8"/>
  <c r="AD20" i="8" s="1"/>
  <c r="AA22" i="8"/>
  <c r="AE22" i="8"/>
  <c r="AW22" i="8"/>
  <c r="E23" i="8"/>
  <c r="H23" i="8"/>
  <c r="K23" i="8"/>
  <c r="L23" i="8" s="1"/>
  <c r="Q23" i="8" s="1"/>
  <c r="S23" i="8" s="1"/>
  <c r="M23" i="8"/>
  <c r="O23" i="8"/>
  <c r="P23" i="8"/>
  <c r="R23" i="8" s="1"/>
  <c r="U23" i="8"/>
  <c r="V23" i="8" s="1"/>
  <c r="Y23" i="8" s="1"/>
  <c r="AP21" i="8" s="1"/>
  <c r="X23" i="8"/>
  <c r="AD21" i="8" s="1"/>
  <c r="AA23" i="8"/>
  <c r="AW23" i="8"/>
  <c r="E24" i="8"/>
  <c r="H24" i="8"/>
  <c r="K24" i="8"/>
  <c r="L24" i="8" s="1"/>
  <c r="Q24" i="8" s="1"/>
  <c r="S24" i="8" s="1"/>
  <c r="M24" i="8"/>
  <c r="O24" i="8"/>
  <c r="P24" i="8"/>
  <c r="R24" i="8" s="1"/>
  <c r="U24" i="8"/>
  <c r="V24" i="8" s="1"/>
  <c r="X24" i="8"/>
  <c r="AD22" i="8" s="1"/>
  <c r="AA24" i="8"/>
  <c r="AW24" i="8"/>
  <c r="E25" i="8"/>
  <c r="H25" i="8"/>
  <c r="K25" i="8"/>
  <c r="L25" i="8" s="1"/>
  <c r="Q25" i="8" s="1"/>
  <c r="S25" i="8" s="1"/>
  <c r="M25" i="8"/>
  <c r="O25" i="8"/>
  <c r="P25" i="8"/>
  <c r="R25" i="8" s="1"/>
  <c r="U25" i="8"/>
  <c r="X25" i="8"/>
  <c r="AD23" i="8" s="1"/>
  <c r="AA25" i="8"/>
  <c r="AW25" i="8"/>
  <c r="E26" i="8"/>
  <c r="H26" i="8"/>
  <c r="K26" i="8"/>
  <c r="L26" i="8" s="1"/>
  <c r="Q26" i="8" s="1"/>
  <c r="S26" i="8" s="1"/>
  <c r="M26" i="8"/>
  <c r="O26" i="8"/>
  <c r="P26" i="8"/>
  <c r="R26" i="8" s="1"/>
  <c r="U26" i="8"/>
  <c r="V26" i="8" s="1"/>
  <c r="X26" i="8"/>
  <c r="AD24" i="8" s="1"/>
  <c r="AA26" i="8"/>
  <c r="AW26" i="8"/>
  <c r="E27" i="8"/>
  <c r="H27" i="8"/>
  <c r="K27" i="8"/>
  <c r="L27" i="8" s="1"/>
  <c r="Q27" i="8" s="1"/>
  <c r="S27" i="8" s="1"/>
  <c r="M27" i="8"/>
  <c r="X27" i="8" s="1"/>
  <c r="AD25" i="8" s="1"/>
  <c r="O27" i="8"/>
  <c r="P27" i="8"/>
  <c r="R27" i="8"/>
  <c r="AA27" i="8"/>
  <c r="AW27" i="8"/>
  <c r="E28" i="8"/>
  <c r="H28" i="8"/>
  <c r="K28" i="8"/>
  <c r="L28" i="8"/>
  <c r="M28" i="8"/>
  <c r="O28" i="8"/>
  <c r="P28" i="8"/>
  <c r="R28" i="8" s="1"/>
  <c r="Q28" i="8"/>
  <c r="S28" i="8" s="1"/>
  <c r="X28" i="8"/>
  <c r="AD26" i="8" s="1"/>
  <c r="AA28" i="8"/>
  <c r="AW28" i="8"/>
  <c r="E29" i="8"/>
  <c r="H29" i="8"/>
  <c r="K29" i="8"/>
  <c r="L29" i="8" s="1"/>
  <c r="Q29" i="8" s="1"/>
  <c r="S29" i="8" s="1"/>
  <c r="M29" i="8"/>
  <c r="O29" i="8"/>
  <c r="P29" i="8"/>
  <c r="R29" i="8" s="1"/>
  <c r="U29" i="8"/>
  <c r="X29" i="8"/>
  <c r="AD27" i="8" s="1"/>
  <c r="AA29" i="8"/>
  <c r="AW29" i="8"/>
  <c r="E30" i="8"/>
  <c r="H30" i="8"/>
  <c r="K30" i="8"/>
  <c r="L30" i="8"/>
  <c r="M30" i="8"/>
  <c r="O30" i="8"/>
  <c r="P30" i="8"/>
  <c r="Q30" i="8"/>
  <c r="S30" i="8" s="1"/>
  <c r="X30" i="8"/>
  <c r="AD28" i="8" s="1"/>
  <c r="AA30" i="8"/>
  <c r="AW30" i="8"/>
  <c r="E31" i="8"/>
  <c r="H31" i="8"/>
  <c r="K31" i="8"/>
  <c r="L31" i="8" s="1"/>
  <c r="Q31" i="8" s="1"/>
  <c r="S31" i="8" s="1"/>
  <c r="M31" i="8"/>
  <c r="O31" i="8"/>
  <c r="P31" i="8"/>
  <c r="R31" i="8" s="1"/>
  <c r="X31" i="8"/>
  <c r="AD29" i="8" s="1"/>
  <c r="AA31" i="8"/>
  <c r="AW31" i="8"/>
  <c r="E32" i="8"/>
  <c r="H32" i="8"/>
  <c r="K32" i="8"/>
  <c r="L32" i="8"/>
  <c r="M32" i="8"/>
  <c r="O32" i="8"/>
  <c r="P32" i="8"/>
  <c r="Q32" i="8"/>
  <c r="X32" i="8"/>
  <c r="AD30" i="8" s="1"/>
  <c r="AA32" i="8"/>
  <c r="AW32" i="8"/>
  <c r="E33" i="8"/>
  <c r="H33" i="8"/>
  <c r="K33" i="8"/>
  <c r="L33" i="8" s="1"/>
  <c r="Q33" i="8" s="1"/>
  <c r="S33" i="8" s="1"/>
  <c r="M33" i="8"/>
  <c r="X33" i="8" s="1"/>
  <c r="AD31" i="8" s="1"/>
  <c r="O33" i="8"/>
  <c r="P33" i="8"/>
  <c r="R33" i="8"/>
  <c r="AA33" i="8"/>
  <c r="AW33" i="8"/>
  <c r="E34" i="8"/>
  <c r="H34" i="8"/>
  <c r="K34" i="8"/>
  <c r="L34" i="8" s="1"/>
  <c r="Q34" i="8" s="1"/>
  <c r="S34" i="8" s="1"/>
  <c r="M34" i="8"/>
  <c r="X34" i="8" s="1"/>
  <c r="AD32" i="8" s="1"/>
  <c r="O34" i="8"/>
  <c r="P34" i="8"/>
  <c r="R34" i="8" s="1"/>
  <c r="AA34" i="8"/>
  <c r="AW34" i="8"/>
  <c r="E35" i="8"/>
  <c r="H35" i="8"/>
  <c r="K35" i="8"/>
  <c r="L35" i="8" s="1"/>
  <c r="Q35" i="8" s="1"/>
  <c r="M35" i="8"/>
  <c r="O35" i="8"/>
  <c r="P35" i="8"/>
  <c r="R35" i="8" s="1"/>
  <c r="X35" i="8"/>
  <c r="AD33" i="8" s="1"/>
  <c r="AA35" i="8"/>
  <c r="AW35" i="8"/>
  <c r="E36" i="8"/>
  <c r="H36" i="8"/>
  <c r="K36" i="8"/>
  <c r="L36" i="8" s="1"/>
  <c r="Q36" i="8" s="1"/>
  <c r="S36" i="8" s="1"/>
  <c r="M36" i="8"/>
  <c r="O36" i="8"/>
  <c r="P36" i="8"/>
  <c r="X36" i="8"/>
  <c r="AD34" i="8" s="1"/>
  <c r="AA36" i="8"/>
  <c r="AW36" i="8"/>
  <c r="E37" i="8"/>
  <c r="H37" i="8"/>
  <c r="K37" i="8"/>
  <c r="L37" i="8" s="1"/>
  <c r="Q37" i="8" s="1"/>
  <c r="M37" i="8"/>
  <c r="O37" i="8"/>
  <c r="P37" i="8"/>
  <c r="X37" i="8"/>
  <c r="AD35" i="8" s="1"/>
  <c r="AA37" i="8"/>
  <c r="AW37" i="8"/>
  <c r="E38" i="8"/>
  <c r="H38" i="8"/>
  <c r="K38" i="8"/>
  <c r="L38" i="8" s="1"/>
  <c r="Q38" i="8" s="1"/>
  <c r="M38" i="8"/>
  <c r="O38" i="8"/>
  <c r="P38" i="8"/>
  <c r="X38" i="8"/>
  <c r="AD36" i="8" s="1"/>
  <c r="AA38" i="8"/>
  <c r="AW38" i="8"/>
  <c r="E39" i="8"/>
  <c r="H39" i="8"/>
  <c r="K39" i="8"/>
  <c r="L39" i="8" s="1"/>
  <c r="Q39" i="8" s="1"/>
  <c r="M39" i="8"/>
  <c r="O39" i="8"/>
  <c r="P39" i="8"/>
  <c r="R39" i="8" s="1"/>
  <c r="X39" i="8"/>
  <c r="AD37" i="8" s="1"/>
  <c r="AA39" i="8"/>
  <c r="AW39" i="8"/>
  <c r="E40" i="8"/>
  <c r="H40" i="8"/>
  <c r="K40" i="8"/>
  <c r="L40" i="8" s="1"/>
  <c r="Q40" i="8" s="1"/>
  <c r="S40" i="8" s="1"/>
  <c r="M40" i="8"/>
  <c r="O40" i="8"/>
  <c r="P40" i="8"/>
  <c r="X40" i="8"/>
  <c r="AD38" i="8" s="1"/>
  <c r="AA40" i="8"/>
  <c r="AW40" i="8"/>
  <c r="E41" i="8"/>
  <c r="H41" i="8"/>
  <c r="K41" i="8"/>
  <c r="L41" i="8"/>
  <c r="Q41" i="8" s="1"/>
  <c r="S41" i="8" s="1"/>
  <c r="M41" i="8"/>
  <c r="O41" i="8"/>
  <c r="P41" i="8" s="1"/>
  <c r="X41" i="8"/>
  <c r="AD39" i="8" s="1"/>
  <c r="AA41" i="8"/>
  <c r="E42" i="8"/>
  <c r="H42" i="8"/>
  <c r="K42" i="8"/>
  <c r="L42" i="8" s="1"/>
  <c r="M42" i="8"/>
  <c r="X42" i="8" s="1"/>
  <c r="AD40" i="8" s="1"/>
  <c r="O42" i="8"/>
  <c r="P42" i="8" s="1"/>
  <c r="R42" i="8"/>
  <c r="AA42" i="8"/>
  <c r="AD42" i="8"/>
  <c r="E43" i="8"/>
  <c r="H43" i="8"/>
  <c r="K43" i="8"/>
  <c r="L43" i="8" s="1"/>
  <c r="Q43" i="8" s="1"/>
  <c r="M43" i="8"/>
  <c r="O43" i="8"/>
  <c r="P43" i="8"/>
  <c r="R43" i="8" s="1"/>
  <c r="X43" i="8"/>
  <c r="AD41" i="8" s="1"/>
  <c r="AA43" i="8"/>
  <c r="E44" i="8"/>
  <c r="H44" i="8"/>
  <c r="L44" i="8" s="1"/>
  <c r="K44" i="8"/>
  <c r="M44" i="8"/>
  <c r="O44" i="8"/>
  <c r="X44" i="8"/>
  <c r="AA44" i="8"/>
  <c r="O45" i="8"/>
  <c r="AE45" i="8"/>
  <c r="AF45" i="8"/>
  <c r="AG45" i="8"/>
  <c r="O46" i="8"/>
  <c r="AN67" i="8"/>
  <c r="AP67" i="8"/>
  <c r="AM68" i="8"/>
  <c r="AN68" i="8"/>
  <c r="AP68" i="8"/>
  <c r="AM69" i="8"/>
  <c r="AN69" i="8"/>
  <c r="AP69" i="8"/>
  <c r="AM70" i="8"/>
  <c r="AN70" i="8"/>
  <c r="AP70" i="8"/>
  <c r="AM71" i="8"/>
  <c r="AN71" i="8"/>
  <c r="AP71" i="8"/>
  <c r="AM72" i="8"/>
  <c r="AN72" i="8"/>
  <c r="AP72" i="8"/>
  <c r="AM73" i="8"/>
  <c r="AN73" i="8"/>
  <c r="AP73" i="8"/>
  <c r="AM74" i="8"/>
  <c r="AN74" i="8"/>
  <c r="AP74" i="8"/>
  <c r="AM75" i="8"/>
  <c r="AN75" i="8"/>
  <c r="AP75" i="8"/>
  <c r="AM76" i="8"/>
  <c r="AN76" i="8"/>
  <c r="AP76" i="8"/>
  <c r="AM77" i="8"/>
  <c r="AN77" i="8"/>
  <c r="AP77" i="8"/>
  <c r="AM78" i="8"/>
  <c r="AN78" i="8"/>
  <c r="AP78" i="8"/>
  <c r="AM79" i="8"/>
  <c r="AN79" i="8"/>
  <c r="AP79" i="8"/>
  <c r="AM80" i="8"/>
  <c r="AN80" i="8"/>
  <c r="AP80" i="8"/>
  <c r="AM81" i="8"/>
  <c r="AN81" i="8"/>
  <c r="AP81" i="8"/>
  <c r="AM82" i="8"/>
  <c r="AN82" i="8"/>
  <c r="AP82" i="8"/>
  <c r="AM83" i="8"/>
  <c r="AN83" i="8"/>
  <c r="AP83" i="8"/>
  <c r="AM84" i="8"/>
  <c r="AN84" i="8"/>
  <c r="AP84" i="8"/>
  <c r="AM85" i="8"/>
  <c r="AN85" i="8"/>
  <c r="AP85" i="8"/>
  <c r="AM86" i="8"/>
  <c r="AN86" i="8"/>
  <c r="AP86" i="8"/>
  <c r="AM87" i="8"/>
  <c r="AN87" i="8"/>
  <c r="AP87" i="8"/>
  <c r="AM88" i="8"/>
  <c r="AN88" i="8"/>
  <c r="AP88" i="8"/>
  <c r="AM89" i="8"/>
  <c r="AN89" i="8"/>
  <c r="AP89" i="8"/>
  <c r="AM90" i="8"/>
  <c r="AN90" i="8"/>
  <c r="AP90" i="8"/>
  <c r="AM91" i="8"/>
  <c r="AN91" i="8"/>
  <c r="AP91" i="8"/>
  <c r="AM92" i="8"/>
  <c r="AN92" i="8"/>
  <c r="AP92" i="8"/>
  <c r="AM93" i="8"/>
  <c r="AN93" i="8"/>
  <c r="AP93" i="8"/>
  <c r="AM94" i="8"/>
  <c r="AN94" i="8"/>
  <c r="AP94" i="8"/>
  <c r="AM95" i="8"/>
  <c r="AN95" i="8"/>
  <c r="AP95" i="8"/>
  <c r="P44" i="8" l="1"/>
  <c r="R44" i="8" s="1"/>
  <c r="Q44" i="8"/>
  <c r="S44" i="8" s="1"/>
  <c r="AN66" i="8"/>
  <c r="R40" i="8"/>
  <c r="S37" i="8"/>
  <c r="R36" i="8"/>
  <c r="AQ14" i="8"/>
  <c r="R41" i="8"/>
  <c r="S38" i="8"/>
  <c r="R37" i="8"/>
  <c r="AM66" i="8"/>
  <c r="AM65" i="8" s="1"/>
  <c r="S39" i="8"/>
  <c r="R38" i="8"/>
  <c r="S35" i="8"/>
  <c r="V29" i="8"/>
  <c r="U32" i="8"/>
  <c r="V25" i="8"/>
  <c r="U28" i="8"/>
  <c r="Q42" i="8"/>
  <c r="S42" i="8" s="1"/>
  <c r="R30" i="8"/>
  <c r="U27" i="8"/>
  <c r="Y26" i="8"/>
  <c r="Z26" i="8"/>
  <c r="P18" i="8"/>
  <c r="R18" i="8" s="1"/>
  <c r="Q18" i="8"/>
  <c r="S18" i="8" s="1"/>
  <c r="Z17" i="8"/>
  <c r="AF16" i="8" s="1"/>
  <c r="Y17" i="8"/>
  <c r="P16" i="8"/>
  <c r="Q16" i="8"/>
  <c r="S32" i="8"/>
  <c r="AX15" i="8"/>
  <c r="AH15" i="8"/>
  <c r="AI15" i="8" s="1"/>
  <c r="AH14" i="8"/>
  <c r="AI14" i="8" s="1"/>
  <c r="R32" i="8"/>
  <c r="Y24" i="8"/>
  <c r="Z24" i="8"/>
  <c r="AE17" i="8"/>
  <c r="AH17" i="8" s="1"/>
  <c r="AI17" i="8" s="1"/>
  <c r="AP16" i="8"/>
  <c r="AX16" i="8"/>
  <c r="AP14" i="8"/>
  <c r="AX19" i="8"/>
  <c r="AX18" i="8"/>
  <c r="AB17" i="8"/>
  <c r="AG16" i="8"/>
  <c r="Q15" i="8"/>
  <c r="Z23" i="8"/>
  <c r="Z22" i="8"/>
  <c r="Z21" i="8"/>
  <c r="Z20" i="8"/>
  <c r="Z19" i="8"/>
  <c r="AR16" i="8"/>
  <c r="AQ16" i="8" s="1"/>
  <c r="AY14" i="8" s="1"/>
  <c r="Q17" i="8"/>
  <c r="AF19" i="8" l="1"/>
  <c r="AH19" i="8" s="1"/>
  <c r="AI19" i="8" s="1"/>
  <c r="AR18" i="8"/>
  <c r="AQ18" i="8" s="1"/>
  <c r="AB20" i="8"/>
  <c r="S16" i="8"/>
  <c r="V27" i="8"/>
  <c r="U30" i="8"/>
  <c r="S17" i="8"/>
  <c r="AF20" i="8"/>
  <c r="AH20" i="8" s="1"/>
  <c r="AI20" i="8" s="1"/>
  <c r="AR19" i="8"/>
  <c r="AQ19" i="8" s="1"/>
  <c r="AB21" i="8"/>
  <c r="S19" i="8"/>
  <c r="AP22" i="8"/>
  <c r="AE23" i="8"/>
  <c r="AF21" i="8"/>
  <c r="AH21" i="8" s="1"/>
  <c r="AI21" i="8" s="1"/>
  <c r="AR20" i="8"/>
  <c r="AQ20" i="8" s="1"/>
  <c r="AB22" i="8"/>
  <c r="AS14" i="8"/>
  <c r="AG15" i="8"/>
  <c r="AP15" i="8"/>
  <c r="AE16" i="8"/>
  <c r="AH16" i="8" s="1"/>
  <c r="AI16" i="8" s="1"/>
  <c r="AF25" i="8"/>
  <c r="AB26" i="8"/>
  <c r="V28" i="8"/>
  <c r="U31" i="8"/>
  <c r="S43" i="8"/>
  <c r="AF23" i="8"/>
  <c r="AR22" i="8"/>
  <c r="AQ22" i="8" s="1"/>
  <c r="AY20" i="8" s="1"/>
  <c r="AB24" i="8"/>
  <c r="U35" i="8"/>
  <c r="V32" i="8"/>
  <c r="AX14" i="8"/>
  <c r="BA14" i="8"/>
  <c r="R16" i="8"/>
  <c r="R17" i="8"/>
  <c r="Y29" i="8"/>
  <c r="Z29" i="8"/>
  <c r="AF18" i="8"/>
  <c r="AH18" i="8" s="1"/>
  <c r="AI18" i="8" s="1"/>
  <c r="AR17" i="8"/>
  <c r="AB19" i="8"/>
  <c r="AF22" i="8"/>
  <c r="AH22" i="8" s="1"/>
  <c r="AI22" i="8" s="1"/>
  <c r="AR21" i="8"/>
  <c r="AQ21" i="8" s="1"/>
  <c r="AB23" i="8"/>
  <c r="AS15" i="8"/>
  <c r="R19" i="8"/>
  <c r="AE25" i="8"/>
  <c r="AH25" i="8" s="1"/>
  <c r="AI25" i="8" s="1"/>
  <c r="Y25" i="8"/>
  <c r="AP24" i="8" s="1"/>
  <c r="Z25" i="8"/>
  <c r="AR24" i="8" s="1"/>
  <c r="AQ24" i="8" s="1"/>
  <c r="AY22" i="8" s="1"/>
  <c r="BA22" i="8" l="1"/>
  <c r="AX22" i="8"/>
  <c r="AP27" i="8"/>
  <c r="AE28" i="8"/>
  <c r="AH28" i="8" s="1"/>
  <c r="AI28" i="8" s="1"/>
  <c r="Y28" i="8"/>
  <c r="Z28" i="8"/>
  <c r="AG20" i="8"/>
  <c r="AS19" i="8"/>
  <c r="AZ17" i="8" s="1"/>
  <c r="AG21" i="8"/>
  <c r="AS20" i="8"/>
  <c r="AZ18" i="8" s="1"/>
  <c r="AG24" i="8"/>
  <c r="AY18" i="8"/>
  <c r="BA18" i="8"/>
  <c r="AS17" i="8"/>
  <c r="AZ15" i="8" s="1"/>
  <c r="AG18" i="8"/>
  <c r="AY19" i="8"/>
  <c r="BA19" i="8"/>
  <c r="V35" i="8"/>
  <c r="U38" i="8"/>
  <c r="AG19" i="8"/>
  <c r="AS18" i="8"/>
  <c r="AZ16" i="8" s="1"/>
  <c r="U33" i="8"/>
  <c r="V30" i="8"/>
  <c r="AY16" i="8"/>
  <c r="BA16" i="8"/>
  <c r="AP23" i="8"/>
  <c r="AE24" i="8"/>
  <c r="AH24" i="8" s="1"/>
  <c r="AI24" i="8" s="1"/>
  <c r="AG17" i="8"/>
  <c r="AS16" i="8"/>
  <c r="AZ14" i="8" s="1"/>
  <c r="BA20" i="8"/>
  <c r="AX20" i="8"/>
  <c r="AQ17" i="8"/>
  <c r="Y32" i="8"/>
  <c r="Z32" i="8"/>
  <c r="AF24" i="8"/>
  <c r="AR23" i="8"/>
  <c r="AQ23" i="8" s="1"/>
  <c r="AY21" i="8" s="1"/>
  <c r="AB25" i="8"/>
  <c r="AF28" i="8"/>
  <c r="AB29" i="8"/>
  <c r="AG22" i="8"/>
  <c r="AS21" i="8"/>
  <c r="AZ19" i="8" s="1"/>
  <c r="V31" i="8"/>
  <c r="U34" i="8"/>
  <c r="AH23" i="8"/>
  <c r="AI23" i="8" s="1"/>
  <c r="AY17" i="8"/>
  <c r="BA17" i="8"/>
  <c r="Y27" i="8"/>
  <c r="Z27" i="8"/>
  <c r="AR25" i="8" l="1"/>
  <c r="AQ25" i="8" s="1"/>
  <c r="AY23" i="8" s="1"/>
  <c r="AF26" i="8"/>
  <c r="AB27" i="8"/>
  <c r="AG23" i="8"/>
  <c r="AS22" i="8"/>
  <c r="AZ20" i="8" s="1"/>
  <c r="AE31" i="8"/>
  <c r="BA21" i="8"/>
  <c r="AX21" i="8"/>
  <c r="V33" i="8"/>
  <c r="U36" i="8"/>
  <c r="Y35" i="8"/>
  <c r="Z35" i="8"/>
  <c r="AX25" i="8"/>
  <c r="AP25" i="8"/>
  <c r="AE26" i="8"/>
  <c r="AH26" i="8" s="1"/>
  <c r="AI26" i="8" s="1"/>
  <c r="U37" i="8"/>
  <c r="V34" i="8"/>
  <c r="AS26" i="8"/>
  <c r="AZ24" i="8" s="1"/>
  <c r="AG27" i="8"/>
  <c r="AR26" i="8"/>
  <c r="AQ26" i="8" s="1"/>
  <c r="AY24" i="8" s="1"/>
  <c r="AF27" i="8"/>
  <c r="AB28" i="8"/>
  <c r="Y31" i="8"/>
  <c r="Z31" i="8"/>
  <c r="AY15" i="8"/>
  <c r="BA15" i="8"/>
  <c r="AE27" i="8"/>
  <c r="AP26" i="8"/>
  <c r="AR27" i="8"/>
  <c r="AQ27" i="8" s="1"/>
  <c r="AY25" i="8" s="1"/>
  <c r="AF31" i="8"/>
  <c r="AB32" i="8"/>
  <c r="Y30" i="8"/>
  <c r="Z30" i="8"/>
  <c r="V38" i="8"/>
  <c r="U41" i="8"/>
  <c r="AS23" i="8"/>
  <c r="AZ21" i="8" s="1"/>
  <c r="U44" i="8" l="1"/>
  <c r="V44" i="8" s="1"/>
  <c r="V41" i="8"/>
  <c r="AG30" i="8"/>
  <c r="AS29" i="8"/>
  <c r="AZ27" i="8" s="1"/>
  <c r="BA24" i="8"/>
  <c r="AX24" i="8"/>
  <c r="AR29" i="8"/>
  <c r="AQ29" i="8" s="1"/>
  <c r="AY27" i="8" s="1"/>
  <c r="AF30" i="8"/>
  <c r="AB31" i="8"/>
  <c r="BA23" i="8"/>
  <c r="AX23" i="8"/>
  <c r="AE34" i="8"/>
  <c r="Y38" i="8"/>
  <c r="Z38" i="8"/>
  <c r="AH27" i="8"/>
  <c r="AI27" i="8" s="1"/>
  <c r="AE30" i="8"/>
  <c r="AH30" i="8" s="1"/>
  <c r="AI30" i="8" s="1"/>
  <c r="AP29" i="8"/>
  <c r="Y34" i="8"/>
  <c r="Z34" i="8"/>
  <c r="V36" i="8"/>
  <c r="U39" i="8"/>
  <c r="AH31" i="8"/>
  <c r="AI31" i="8" s="1"/>
  <c r="AG25" i="8"/>
  <c r="AS24" i="8"/>
  <c r="AZ22" i="8" s="1"/>
  <c r="AR28" i="8"/>
  <c r="AQ28" i="8" s="1"/>
  <c r="AY26" i="8" s="1"/>
  <c r="AF29" i="8"/>
  <c r="AB30" i="8"/>
  <c r="AR30" i="8"/>
  <c r="AQ30" i="8" s="1"/>
  <c r="AY28" i="8" s="1"/>
  <c r="V37" i="8"/>
  <c r="U40" i="8"/>
  <c r="BA25" i="8"/>
  <c r="Y33" i="8"/>
  <c r="Z33" i="8"/>
  <c r="AP30" i="8"/>
  <c r="AE29" i="8"/>
  <c r="AP28" i="8"/>
  <c r="AG26" i="8"/>
  <c r="AS25" i="8"/>
  <c r="AZ23" i="8" s="1"/>
  <c r="AR33" i="8"/>
  <c r="AQ33" i="8" s="1"/>
  <c r="AY31" i="8" s="1"/>
  <c r="AF34" i="8"/>
  <c r="AB35" i="8"/>
  <c r="AX28" i="8" l="1"/>
  <c r="BA28" i="8"/>
  <c r="V40" i="8"/>
  <c r="U43" i="8"/>
  <c r="V43" i="8" s="1"/>
  <c r="AG28" i="8"/>
  <c r="AS27" i="8"/>
  <c r="AZ25" i="8" s="1"/>
  <c r="AR32" i="8"/>
  <c r="AQ32" i="8" s="1"/>
  <c r="AY30" i="8" s="1"/>
  <c r="AF33" i="8"/>
  <c r="AB34" i="8"/>
  <c r="AS32" i="8" s="1"/>
  <c r="AZ30" i="8" s="1"/>
  <c r="AH34" i="8"/>
  <c r="AI34" i="8" s="1"/>
  <c r="AG33" i="8"/>
  <c r="AR31" i="8"/>
  <c r="AQ31" i="8" s="1"/>
  <c r="AY29" i="8" s="1"/>
  <c r="AF32" i="8"/>
  <c r="AB33" i="8"/>
  <c r="Y37" i="8"/>
  <c r="Z37" i="8"/>
  <c r="AP32" i="8"/>
  <c r="AE33" i="8"/>
  <c r="AH33" i="8" s="1"/>
  <c r="AI33" i="8" s="1"/>
  <c r="AF37" i="8"/>
  <c r="AR36" i="8"/>
  <c r="AQ36" i="8" s="1"/>
  <c r="AY34" i="8" s="1"/>
  <c r="AB38" i="8"/>
  <c r="BA26" i="8"/>
  <c r="AX26" i="8"/>
  <c r="AP31" i="8"/>
  <c r="AE32" i="8"/>
  <c r="AH32" i="8" s="1"/>
  <c r="AI32" i="8" s="1"/>
  <c r="V39" i="8"/>
  <c r="U42" i="8"/>
  <c r="V42" i="8" s="1"/>
  <c r="AX27" i="8"/>
  <c r="BA27" i="8"/>
  <c r="AP36" i="8"/>
  <c r="AE37" i="8"/>
  <c r="AH37" i="8" s="1"/>
  <c r="AI37" i="8" s="1"/>
  <c r="Y41" i="8"/>
  <c r="Z41" i="8"/>
  <c r="AH29" i="8"/>
  <c r="AI29" i="8" s="1"/>
  <c r="Y36" i="8"/>
  <c r="Z36" i="8"/>
  <c r="AP33" i="8"/>
  <c r="AG29" i="8"/>
  <c r="AS28" i="8"/>
  <c r="AZ26" i="8" s="1"/>
  <c r="Z44" i="8"/>
  <c r="Y44" i="8"/>
  <c r="AF43" i="8" l="1"/>
  <c r="AB44" i="8"/>
  <c r="AX29" i="8"/>
  <c r="BA29" i="8"/>
  <c r="BA34" i="8"/>
  <c r="AX34" i="8"/>
  <c r="Y39" i="8"/>
  <c r="Z39" i="8"/>
  <c r="AP35" i="8"/>
  <c r="AE36" i="8"/>
  <c r="AH36" i="8" s="1"/>
  <c r="AI36" i="8" s="1"/>
  <c r="Y43" i="8"/>
  <c r="Z43" i="8"/>
  <c r="AX31" i="8"/>
  <c r="BA31" i="8"/>
  <c r="AG31" i="8"/>
  <c r="AS30" i="8"/>
  <c r="AZ28" i="8" s="1"/>
  <c r="AF35" i="8"/>
  <c r="AR34" i="8"/>
  <c r="AQ34" i="8" s="1"/>
  <c r="AY32" i="8" s="1"/>
  <c r="AB36" i="8"/>
  <c r="AG36" i="8"/>
  <c r="AX30" i="8"/>
  <c r="BA30" i="8"/>
  <c r="AE43" i="8"/>
  <c r="AH43" i="8" s="1"/>
  <c r="AI43" i="8" s="1"/>
  <c r="AF40" i="8"/>
  <c r="AR39" i="8"/>
  <c r="AQ39" i="8" s="1"/>
  <c r="AY37" i="8" s="1"/>
  <c r="AB41" i="8"/>
  <c r="Y40" i="8"/>
  <c r="Z40" i="8"/>
  <c r="AP39" i="8"/>
  <c r="AE40" i="8"/>
  <c r="AP34" i="8"/>
  <c r="AE35" i="8"/>
  <c r="AH35" i="8" s="1"/>
  <c r="AI35" i="8" s="1"/>
  <c r="Y42" i="8"/>
  <c r="Z42" i="8"/>
  <c r="AF36" i="8"/>
  <c r="AR35" i="8"/>
  <c r="AQ35" i="8" s="1"/>
  <c r="AY33" i="8" s="1"/>
  <c r="AB37" i="8"/>
  <c r="AG32" i="8"/>
  <c r="AS31" i="8"/>
  <c r="AZ29" i="8" s="1"/>
  <c r="AG35" i="8" l="1"/>
  <c r="AS34" i="8"/>
  <c r="AZ32" i="8" s="1"/>
  <c r="BA37" i="8"/>
  <c r="AX37" i="8"/>
  <c r="AE42" i="8"/>
  <c r="AH42" i="8" s="1"/>
  <c r="AI42" i="8" s="1"/>
  <c r="AP41" i="8"/>
  <c r="AF39" i="8"/>
  <c r="AR38" i="8"/>
  <c r="AQ38" i="8" s="1"/>
  <c r="AY36" i="8" s="1"/>
  <c r="AB40" i="8"/>
  <c r="AS38" i="8" s="1"/>
  <c r="AZ36" i="8" s="1"/>
  <c r="AG42" i="8"/>
  <c r="AX32" i="8"/>
  <c r="BA32" i="8"/>
  <c r="AP38" i="8"/>
  <c r="AE39" i="8"/>
  <c r="AH39" i="8" s="1"/>
  <c r="AI39" i="8" s="1"/>
  <c r="AS35" i="8"/>
  <c r="AZ33" i="8" s="1"/>
  <c r="BA33" i="8"/>
  <c r="AX33" i="8"/>
  <c r="AP40" i="8"/>
  <c r="AE41" i="8"/>
  <c r="AH41" i="8" s="1"/>
  <c r="AI41" i="8" s="1"/>
  <c r="AS33" i="8"/>
  <c r="AZ31" i="8" s="1"/>
  <c r="AG34" i="8"/>
  <c r="AP37" i="8"/>
  <c r="AE38" i="8"/>
  <c r="AH38" i="8" s="1"/>
  <c r="AI38" i="8" s="1"/>
  <c r="AR40" i="8"/>
  <c r="AQ40" i="8" s="1"/>
  <c r="AY38" i="8" s="1"/>
  <c r="AB42" i="8"/>
  <c r="AF41" i="8"/>
  <c r="AH40" i="8"/>
  <c r="AI40" i="8" s="1"/>
  <c r="AG39" i="8"/>
  <c r="AP42" i="8"/>
  <c r="AR41" i="8"/>
  <c r="AB43" i="8"/>
  <c r="AS41" i="8" s="1"/>
  <c r="AZ39" i="8" s="1"/>
  <c r="AF42" i="8"/>
  <c r="AF38" i="8"/>
  <c r="AR37" i="8"/>
  <c r="AQ37" i="8" s="1"/>
  <c r="AY35" i="8" s="1"/>
  <c r="AB39" i="8"/>
  <c r="AR42" i="8"/>
  <c r="AQ42" i="8" s="1"/>
  <c r="AY40" i="8" s="1"/>
  <c r="AQ41" i="8" l="1"/>
  <c r="AY39" i="8" s="1"/>
  <c r="AR5" i="8"/>
  <c r="AR6" i="8"/>
  <c r="AQ15" i="8" s="1"/>
  <c r="AX40" i="8"/>
  <c r="BA40" i="8"/>
  <c r="BA35" i="8"/>
  <c r="AX35" i="8"/>
  <c r="BA38" i="8"/>
  <c r="AX38" i="8"/>
  <c r="AG40" i="8"/>
  <c r="AS39" i="8"/>
  <c r="AZ37" i="8" s="1"/>
  <c r="BA36" i="8"/>
  <c r="AX36" i="8"/>
  <c r="BA39" i="8"/>
  <c r="AX39" i="8"/>
  <c r="AG37" i="8"/>
  <c r="AS36" i="8"/>
  <c r="AZ34" i="8" s="1"/>
  <c r="AG41" i="8"/>
  <c r="AS40" i="8"/>
  <c r="AZ38" i="8" s="1"/>
  <c r="AG38" i="8"/>
  <c r="AS37" i="8"/>
  <c r="AZ35" i="8" s="1"/>
  <c r="F1" i="7" l="1"/>
  <c r="F2" i="7"/>
  <c r="S2" i="7" s="1"/>
  <c r="R2" i="7"/>
  <c r="F3" i="7"/>
  <c r="R3" i="7"/>
  <c r="S3" i="7"/>
  <c r="T4" i="7" s="1"/>
  <c r="F4" i="7"/>
  <c r="R4" i="7"/>
  <c r="S4" i="7"/>
  <c r="F5" i="7"/>
  <c r="R5" i="7"/>
  <c r="S5" i="7"/>
  <c r="T5" i="7"/>
  <c r="F6" i="7"/>
  <c r="R6" i="7"/>
  <c r="S6" i="7"/>
  <c r="T6" i="7"/>
  <c r="F7" i="7"/>
  <c r="R7" i="7"/>
  <c r="S7" i="7"/>
  <c r="T7" i="7"/>
  <c r="F8" i="7"/>
  <c r="R8" i="7"/>
  <c r="S8" i="7"/>
  <c r="T8" i="7"/>
  <c r="F9" i="7"/>
  <c r="R9" i="7"/>
  <c r="S9" i="7"/>
  <c r="T9" i="7"/>
  <c r="F10" i="7"/>
  <c r="R10" i="7"/>
  <c r="S10" i="7"/>
  <c r="T10" i="7"/>
  <c r="F11" i="7"/>
  <c r="R11" i="7"/>
  <c r="S11" i="7"/>
  <c r="U12" i="7" s="1"/>
  <c r="W12" i="7" s="1"/>
  <c r="X12" i="7" s="1"/>
  <c r="Y12" i="7" s="1"/>
  <c r="T11" i="7"/>
  <c r="V12" i="7" s="1"/>
  <c r="U11" i="7"/>
  <c r="F12" i="7"/>
  <c r="R12" i="7"/>
  <c r="S12" i="7"/>
  <c r="U13" i="7" s="1"/>
  <c r="T12" i="7"/>
  <c r="V13" i="7" s="1"/>
  <c r="F13" i="7"/>
  <c r="R13" i="7"/>
  <c r="S13" i="7"/>
  <c r="T14" i="7" s="1"/>
  <c r="F14" i="7"/>
  <c r="R14" i="7"/>
  <c r="S14" i="7"/>
  <c r="F15" i="7"/>
  <c r="R15" i="7"/>
  <c r="S15" i="7"/>
  <c r="U16" i="7" s="1"/>
  <c r="T15" i="7"/>
  <c r="U15" i="7"/>
  <c r="F16" i="7"/>
  <c r="R16" i="7"/>
  <c r="S16" i="7"/>
  <c r="U17" i="7" s="1"/>
  <c r="T16" i="7"/>
  <c r="F17" i="7"/>
  <c r="R17" i="7"/>
  <c r="S17" i="7"/>
  <c r="T18" i="7" s="1"/>
  <c r="F18" i="7"/>
  <c r="R18" i="7"/>
  <c r="S18" i="7"/>
  <c r="F19" i="7"/>
  <c r="R19" i="7"/>
  <c r="S19" i="7"/>
  <c r="U20" i="7" s="1"/>
  <c r="T19" i="7"/>
  <c r="U19" i="7"/>
  <c r="F20" i="7"/>
  <c r="R20" i="7"/>
  <c r="S20" i="7"/>
  <c r="U21" i="7" s="1"/>
  <c r="T20" i="7"/>
  <c r="F21" i="7"/>
  <c r="R21" i="7"/>
  <c r="S21" i="7"/>
  <c r="T22" i="7" s="1"/>
  <c r="F22" i="7"/>
  <c r="R22" i="7"/>
  <c r="S22" i="7"/>
  <c r="F23" i="7"/>
  <c r="R23" i="7"/>
  <c r="S23" i="7"/>
  <c r="U24" i="7" s="1"/>
  <c r="T23" i="7"/>
  <c r="U23" i="7"/>
  <c r="F24" i="7"/>
  <c r="R24" i="7"/>
  <c r="S24" i="7"/>
  <c r="U25" i="7" s="1"/>
  <c r="T24" i="7"/>
  <c r="F25" i="7"/>
  <c r="R25" i="7"/>
  <c r="S25" i="7"/>
  <c r="T26" i="7" s="1"/>
  <c r="F26" i="7"/>
  <c r="R26" i="7"/>
  <c r="S26" i="7"/>
  <c r="F27" i="7"/>
  <c r="R27" i="7"/>
  <c r="S27" i="7"/>
  <c r="U28" i="7" s="1"/>
  <c r="T27" i="7"/>
  <c r="U27" i="7"/>
  <c r="F28" i="7"/>
  <c r="R28" i="7"/>
  <c r="S28" i="7"/>
  <c r="U29" i="7" s="1"/>
  <c r="T28" i="7"/>
  <c r="F29" i="7"/>
  <c r="R29" i="7"/>
  <c r="S29" i="7"/>
  <c r="T30" i="7" s="1"/>
  <c r="F30" i="7"/>
  <c r="R30" i="7"/>
  <c r="S30" i="7"/>
  <c r="F31" i="7"/>
  <c r="R31" i="7"/>
  <c r="S31" i="7"/>
  <c r="U32" i="7" s="1"/>
  <c r="T31" i="7"/>
  <c r="U31" i="7"/>
  <c r="F32" i="7"/>
  <c r="R32" i="7"/>
  <c r="S32" i="7"/>
  <c r="U33" i="7" s="1"/>
  <c r="T32" i="7"/>
  <c r="F33" i="7"/>
  <c r="R33" i="7"/>
  <c r="S33" i="7"/>
  <c r="T34" i="7" s="1"/>
  <c r="F34" i="7"/>
  <c r="R34" i="7"/>
  <c r="S34" i="7"/>
  <c r="F35" i="7"/>
  <c r="R35" i="7"/>
  <c r="S35" i="7"/>
  <c r="T35" i="7"/>
  <c r="U35" i="7"/>
  <c r="R36" i="7"/>
  <c r="R37" i="7"/>
  <c r="R38" i="7"/>
  <c r="R39" i="7"/>
  <c r="F1" i="6"/>
  <c r="F2" i="6"/>
  <c r="F3" i="6"/>
  <c r="F4" i="6"/>
  <c r="F5" i="6"/>
  <c r="F6" i="6"/>
  <c r="F7" i="6"/>
  <c r="F8" i="6"/>
  <c r="F9" i="6"/>
  <c r="F10" i="6"/>
  <c r="R10" i="6"/>
  <c r="S10" i="6"/>
  <c r="AA10" i="6" s="1"/>
  <c r="AI10" i="6" s="1"/>
  <c r="Z10" i="6"/>
  <c r="AC10" i="6"/>
  <c r="AD10" i="6"/>
  <c r="AL10" i="6" s="1"/>
  <c r="AE10" i="6"/>
  <c r="AH10" i="6"/>
  <c r="AK10" i="6"/>
  <c r="AM10" i="6"/>
  <c r="F11" i="6"/>
  <c r="F12" i="6"/>
  <c r="F13" i="6"/>
  <c r="R13" i="6"/>
  <c r="S13" i="6"/>
  <c r="Z13" i="6"/>
  <c r="AH13" i="6" s="1"/>
  <c r="F14" i="6"/>
  <c r="R14" i="6"/>
  <c r="S14" i="6"/>
  <c r="Z14" i="6"/>
  <c r="AH14" i="6" s="1"/>
  <c r="AA14" i="6"/>
  <c r="AI14" i="6" s="1"/>
  <c r="F15" i="6"/>
  <c r="R15" i="6"/>
  <c r="Z15" i="6" s="1"/>
  <c r="AH15" i="6" s="1"/>
  <c r="S15" i="6"/>
  <c r="AA15" i="6"/>
  <c r="AI15" i="6" s="1"/>
  <c r="F16" i="6"/>
  <c r="R16" i="6"/>
  <c r="Z16" i="6" s="1"/>
  <c r="AH16" i="6" s="1"/>
  <c r="S16" i="6"/>
  <c r="AA16" i="6"/>
  <c r="F17" i="6"/>
  <c r="R17" i="6"/>
  <c r="S17" i="6"/>
  <c r="Z17" i="6"/>
  <c r="AH17" i="6" s="1"/>
  <c r="AA17" i="6"/>
  <c r="AI17" i="6"/>
  <c r="F18" i="6"/>
  <c r="R18" i="6"/>
  <c r="Z18" i="6" s="1"/>
  <c r="AH18" i="6" s="1"/>
  <c r="S18" i="6"/>
  <c r="AA18" i="6" s="1"/>
  <c r="AB18" i="6"/>
  <c r="AC19" i="6" s="1"/>
  <c r="F19" i="6"/>
  <c r="R19" i="6"/>
  <c r="S19" i="6"/>
  <c r="Z19" i="6"/>
  <c r="AH19" i="6"/>
  <c r="F20" i="6"/>
  <c r="R20" i="6"/>
  <c r="S20" i="6"/>
  <c r="Z20" i="6"/>
  <c r="AH20" i="6" s="1"/>
  <c r="F21" i="6"/>
  <c r="R21" i="6"/>
  <c r="S21" i="6"/>
  <c r="T21" i="6"/>
  <c r="Z21" i="6"/>
  <c r="AH21" i="6" s="1"/>
  <c r="AA21" i="6"/>
  <c r="AI21" i="6" s="1"/>
  <c r="F22" i="6"/>
  <c r="R22" i="6"/>
  <c r="Z22" i="6" s="1"/>
  <c r="AH22" i="6" s="1"/>
  <c r="S22" i="6"/>
  <c r="U22" i="6"/>
  <c r="AA22" i="6"/>
  <c r="F23" i="6"/>
  <c r="R23" i="6"/>
  <c r="Z23" i="6" s="1"/>
  <c r="S23" i="6"/>
  <c r="AA23" i="6" s="1"/>
  <c r="AH23" i="6"/>
  <c r="F24" i="6"/>
  <c r="R24" i="6"/>
  <c r="S24" i="6"/>
  <c r="Z24" i="6"/>
  <c r="AH24" i="6" s="1"/>
  <c r="F25" i="6"/>
  <c r="R25" i="6"/>
  <c r="S25" i="6"/>
  <c r="Z25" i="6"/>
  <c r="AH25" i="6" s="1"/>
  <c r="AA25" i="6"/>
  <c r="AI25" i="6" s="1"/>
  <c r="F26" i="6"/>
  <c r="R26" i="6"/>
  <c r="Z26" i="6" s="1"/>
  <c r="AH26" i="6" s="1"/>
  <c r="S26" i="6"/>
  <c r="AA26" i="6"/>
  <c r="F27" i="6"/>
  <c r="R27" i="6"/>
  <c r="Z27" i="6" s="1"/>
  <c r="S27" i="6"/>
  <c r="AA27" i="6" s="1"/>
  <c r="AH27" i="6"/>
  <c r="F28" i="6"/>
  <c r="R28" i="6"/>
  <c r="S28" i="6"/>
  <c r="Z28" i="6"/>
  <c r="AH28" i="6" s="1"/>
  <c r="F29" i="6"/>
  <c r="R29" i="6"/>
  <c r="S29" i="6"/>
  <c r="T29" i="6"/>
  <c r="Z29" i="6"/>
  <c r="AH29" i="6" s="1"/>
  <c r="AA29" i="6"/>
  <c r="AI29" i="6" s="1"/>
  <c r="F30" i="6"/>
  <c r="R30" i="6"/>
  <c r="Z30" i="6" s="1"/>
  <c r="AH30" i="6" s="1"/>
  <c r="S30" i="6"/>
  <c r="U30" i="6"/>
  <c r="AA30" i="6"/>
  <c r="F31" i="6"/>
  <c r="R31" i="6"/>
  <c r="Z31" i="6" s="1"/>
  <c r="S31" i="6"/>
  <c r="AA31" i="6" s="1"/>
  <c r="AH31" i="6"/>
  <c r="F32" i="6"/>
  <c r="R32" i="6"/>
  <c r="S32" i="6"/>
  <c r="Z32" i="6"/>
  <c r="AH32" i="6" s="1"/>
  <c r="F33" i="6"/>
  <c r="R33" i="6"/>
  <c r="S33" i="6"/>
  <c r="T33" i="6"/>
  <c r="Z33" i="6"/>
  <c r="AH33" i="6" s="1"/>
  <c r="AA33" i="6"/>
  <c r="AI33" i="6" s="1"/>
  <c r="F34" i="6"/>
  <c r="R34" i="6"/>
  <c r="Z34" i="6" s="1"/>
  <c r="AH34" i="6" s="1"/>
  <c r="S34" i="6"/>
  <c r="U34" i="6"/>
  <c r="AA34" i="6"/>
  <c r="F35" i="6"/>
  <c r="R35" i="6"/>
  <c r="S35" i="6"/>
  <c r="AA35" i="6" s="1"/>
  <c r="F1" i="5"/>
  <c r="F2" i="5"/>
  <c r="S10" i="5" s="1"/>
  <c r="AA10" i="5" s="1"/>
  <c r="AI10" i="5" s="1"/>
  <c r="AQ10" i="5" s="1"/>
  <c r="AW10" i="5" s="1"/>
  <c r="BC10" i="5" s="1"/>
  <c r="F3" i="5"/>
  <c r="F4" i="5"/>
  <c r="F5" i="5"/>
  <c r="F6" i="5"/>
  <c r="F7" i="5"/>
  <c r="F8" i="5"/>
  <c r="F9" i="5"/>
  <c r="F10" i="5"/>
  <c r="R10" i="5"/>
  <c r="Z10" i="5" s="1"/>
  <c r="AH10" i="5" s="1"/>
  <c r="AC10" i="5"/>
  <c r="AK10" i="5" s="1"/>
  <c r="AD10" i="5"/>
  <c r="AE10" i="5"/>
  <c r="AL10" i="5"/>
  <c r="AM10" i="5"/>
  <c r="AP10" i="5"/>
  <c r="AV10" i="5" s="1"/>
  <c r="BB10" i="5" s="1"/>
  <c r="AY10" i="5"/>
  <c r="BE10" i="5" s="1"/>
  <c r="AZ10" i="5"/>
  <c r="BF10" i="5"/>
  <c r="F11" i="5"/>
  <c r="BA11" i="5"/>
  <c r="BG11" i="5" s="1"/>
  <c r="F12" i="5"/>
  <c r="BA12" i="5"/>
  <c r="BG12" i="5" s="1"/>
  <c r="F13" i="5"/>
  <c r="R13" i="5"/>
  <c r="Z13" i="5" s="1"/>
  <c r="AH13" i="5" s="1"/>
  <c r="AP13" i="5" s="1"/>
  <c r="AV13" i="5" s="1"/>
  <c r="BB13" i="5" s="1"/>
  <c r="S13" i="5"/>
  <c r="AA13" i="5"/>
  <c r="AI13" i="5" s="1"/>
  <c r="F14" i="5"/>
  <c r="R14" i="5"/>
  <c r="S14" i="5"/>
  <c r="Z14" i="5"/>
  <c r="AH14" i="5" s="1"/>
  <c r="AP14" i="5" s="1"/>
  <c r="AV14" i="5" s="1"/>
  <c r="BB14" i="5" s="1"/>
  <c r="AA14" i="5"/>
  <c r="F15" i="5"/>
  <c r="R15" i="5"/>
  <c r="S15" i="5"/>
  <c r="AA15" i="5" s="1"/>
  <c r="Z15" i="5"/>
  <c r="AH15" i="5" s="1"/>
  <c r="AP15" i="5" s="1"/>
  <c r="AV15" i="5" s="1"/>
  <c r="BB15" i="5" s="1"/>
  <c r="F16" i="5"/>
  <c r="R16" i="5"/>
  <c r="Z16" i="5" s="1"/>
  <c r="S16" i="5"/>
  <c r="AA16" i="5"/>
  <c r="AI16" i="5" s="1"/>
  <c r="AH16" i="5"/>
  <c r="AP16" i="5" s="1"/>
  <c r="AV16" i="5"/>
  <c r="BB16" i="5" s="1"/>
  <c r="F17" i="5"/>
  <c r="R17" i="5"/>
  <c r="S17" i="5"/>
  <c r="Z17" i="5"/>
  <c r="AH17" i="5" s="1"/>
  <c r="AP17" i="5" s="1"/>
  <c r="AV17" i="5" s="1"/>
  <c r="BB17" i="5" s="1"/>
  <c r="AA17" i="5"/>
  <c r="F18" i="5"/>
  <c r="R18" i="5"/>
  <c r="Z18" i="5" s="1"/>
  <c r="AH18" i="5" s="1"/>
  <c r="AP18" i="5" s="1"/>
  <c r="AV18" i="5" s="1"/>
  <c r="BB18" i="5" s="1"/>
  <c r="S18" i="5"/>
  <c r="F19" i="5"/>
  <c r="R19" i="5"/>
  <c r="Z19" i="5" s="1"/>
  <c r="S19" i="5"/>
  <c r="AA19" i="5"/>
  <c r="AI19" i="5" s="1"/>
  <c r="AQ19" i="5" s="1"/>
  <c r="AH19" i="5"/>
  <c r="AP19" i="5" s="1"/>
  <c r="AV19" i="5" s="1"/>
  <c r="BB19" i="5" s="1"/>
  <c r="F20" i="5"/>
  <c r="R20" i="5"/>
  <c r="S20" i="5"/>
  <c r="AA20" i="5" s="1"/>
  <c r="AB23" i="5" s="1"/>
  <c r="AC24" i="5" s="1"/>
  <c r="T20" i="5"/>
  <c r="U21" i="5" s="1"/>
  <c r="Z20" i="5"/>
  <c r="AH20" i="5" s="1"/>
  <c r="AP20" i="5" s="1"/>
  <c r="AV20" i="5" s="1"/>
  <c r="BB20" i="5" s="1"/>
  <c r="F21" i="5"/>
  <c r="R21" i="5"/>
  <c r="Z21" i="5" s="1"/>
  <c r="AH21" i="5" s="1"/>
  <c r="AP21" i="5" s="1"/>
  <c r="AV21" i="5" s="1"/>
  <c r="BB21" i="5" s="1"/>
  <c r="S21" i="5"/>
  <c r="V21" i="5"/>
  <c r="W21" i="5" s="1"/>
  <c r="AA21" i="5"/>
  <c r="AI21" i="5" s="1"/>
  <c r="AQ21" i="5" s="1"/>
  <c r="AW21" i="5"/>
  <c r="F22" i="5"/>
  <c r="R22" i="5"/>
  <c r="S22" i="5"/>
  <c r="AA22" i="5" s="1"/>
  <c r="AI22" i="5" s="1"/>
  <c r="T22" i="5"/>
  <c r="U23" i="5" s="1"/>
  <c r="V23" i="5" s="1"/>
  <c r="W23" i="5" s="1"/>
  <c r="Z22" i="5"/>
  <c r="AH22" i="5" s="1"/>
  <c r="AP22" i="5"/>
  <c r="AV22" i="5" s="1"/>
  <c r="BB22" i="5" s="1"/>
  <c r="F23" i="5"/>
  <c r="R23" i="5"/>
  <c r="Z23" i="5" s="1"/>
  <c r="S23" i="5"/>
  <c r="AA23" i="5"/>
  <c r="AI23" i="5" s="1"/>
  <c r="AQ23" i="5" s="1"/>
  <c r="AW23" i="5" s="1"/>
  <c r="AH23" i="5"/>
  <c r="AP23" i="5" s="1"/>
  <c r="AV23" i="5" s="1"/>
  <c r="BB23" i="5" s="1"/>
  <c r="F24" i="5"/>
  <c r="R24" i="5"/>
  <c r="S24" i="5"/>
  <c r="AA24" i="5" s="1"/>
  <c r="T24" i="5"/>
  <c r="Z24" i="5"/>
  <c r="AH24" i="5" s="1"/>
  <c r="AP24" i="5" s="1"/>
  <c r="AV24" i="5" s="1"/>
  <c r="BB24" i="5" s="1"/>
  <c r="F25" i="5"/>
  <c r="R25" i="5"/>
  <c r="Z25" i="5" s="1"/>
  <c r="S25" i="5"/>
  <c r="T25" i="5"/>
  <c r="U26" i="5" s="1"/>
  <c r="V26" i="5" s="1"/>
  <c r="W26" i="5" s="1"/>
  <c r="U25" i="5"/>
  <c r="V25" i="5"/>
  <c r="W25" i="5" s="1"/>
  <c r="AA25" i="5"/>
  <c r="AI25" i="5" s="1"/>
  <c r="AQ25" i="5" s="1"/>
  <c r="AB25" i="5"/>
  <c r="AC26" i="5" s="1"/>
  <c r="AD26" i="5" s="1"/>
  <c r="AE26" i="5" s="1"/>
  <c r="AH25" i="5"/>
  <c r="AP25" i="5" s="1"/>
  <c r="AV25" i="5" s="1"/>
  <c r="BB25" i="5" s="1"/>
  <c r="AW25" i="5"/>
  <c r="F26" i="5"/>
  <c r="R26" i="5"/>
  <c r="Z26" i="5" s="1"/>
  <c r="AH26" i="5" s="1"/>
  <c r="AP26" i="5" s="1"/>
  <c r="AV26" i="5" s="1"/>
  <c r="BB26" i="5" s="1"/>
  <c r="S26" i="5"/>
  <c r="AA26" i="5" s="1"/>
  <c r="T26" i="5"/>
  <c r="U27" i="5" s="1"/>
  <c r="V27" i="5" s="1"/>
  <c r="W27" i="5" s="1"/>
  <c r="AI26" i="5"/>
  <c r="AQ26" i="5" s="1"/>
  <c r="AW26" i="5"/>
  <c r="BC26" i="5"/>
  <c r="F27" i="5"/>
  <c r="R27" i="5"/>
  <c r="Z27" i="5" s="1"/>
  <c r="AH27" i="5" s="1"/>
  <c r="AP27" i="5" s="1"/>
  <c r="AV27" i="5" s="1"/>
  <c r="BB27" i="5" s="1"/>
  <c r="S27" i="5"/>
  <c r="T27" i="5"/>
  <c r="U28" i="5" s="1"/>
  <c r="AA27" i="5"/>
  <c r="F28" i="5"/>
  <c r="R28" i="5"/>
  <c r="S28" i="5"/>
  <c r="Z28" i="5"/>
  <c r="AH28" i="5" s="1"/>
  <c r="AP28" i="5" s="1"/>
  <c r="AV28" i="5" s="1"/>
  <c r="BB28" i="5" s="1"/>
  <c r="F29" i="5"/>
  <c r="R29" i="5"/>
  <c r="Z29" i="5" s="1"/>
  <c r="AH29" i="5" s="1"/>
  <c r="AP29" i="5" s="1"/>
  <c r="S29" i="5"/>
  <c r="AA29" i="5"/>
  <c r="AI29" i="5" s="1"/>
  <c r="AV29" i="5"/>
  <c r="BB29" i="5" s="1"/>
  <c r="F30" i="5"/>
  <c r="R30" i="5"/>
  <c r="S30" i="5"/>
  <c r="T34" i="5" s="1"/>
  <c r="U35" i="5" s="1"/>
  <c r="V35" i="5" s="1"/>
  <c r="W35" i="5" s="1"/>
  <c r="Z30" i="5"/>
  <c r="AH30" i="5" s="1"/>
  <c r="AP30" i="5" s="1"/>
  <c r="AV30" i="5"/>
  <c r="BB30" i="5" s="1"/>
  <c r="F31" i="5"/>
  <c r="R31" i="5"/>
  <c r="Z31" i="5" s="1"/>
  <c r="AH31" i="5" s="1"/>
  <c r="AP31" i="5" s="1"/>
  <c r="S31" i="5"/>
  <c r="AA31" i="5" s="1"/>
  <c r="AV31" i="5"/>
  <c r="BB31" i="5" s="1"/>
  <c r="F32" i="5"/>
  <c r="R32" i="5"/>
  <c r="S32" i="5"/>
  <c r="Z32" i="5"/>
  <c r="AH32" i="5" s="1"/>
  <c r="AP32" i="5" s="1"/>
  <c r="AV32" i="5" s="1"/>
  <c r="BB32" i="5" s="1"/>
  <c r="AA32" i="5"/>
  <c r="AI32" i="5"/>
  <c r="AQ32" i="5" s="1"/>
  <c r="F33" i="5"/>
  <c r="R33" i="5"/>
  <c r="Z33" i="5" s="1"/>
  <c r="S33" i="5"/>
  <c r="AA33" i="5" s="1"/>
  <c r="AI33" i="5" s="1"/>
  <c r="AH33" i="5"/>
  <c r="AP33" i="5" s="1"/>
  <c r="AV33" i="5"/>
  <c r="BB33" i="5" s="1"/>
  <c r="F34" i="5"/>
  <c r="R34" i="5"/>
  <c r="S34" i="5"/>
  <c r="Z34" i="5"/>
  <c r="AH34" i="5" s="1"/>
  <c r="AA34" i="5"/>
  <c r="AI34" i="5"/>
  <c r="AP34" i="5"/>
  <c r="AQ34" i="5"/>
  <c r="AV34" i="5"/>
  <c r="AW34" i="5"/>
  <c r="BB34" i="5"/>
  <c r="F35" i="5"/>
  <c r="R35" i="5"/>
  <c r="S35" i="5"/>
  <c r="AA35" i="5" s="1"/>
  <c r="AI35" i="5" s="1"/>
  <c r="AQ35" i="5" s="1"/>
  <c r="T35" i="5"/>
  <c r="Z35" i="5"/>
  <c r="AH35" i="5" s="1"/>
  <c r="AP35" i="5" s="1"/>
  <c r="AV35" i="5" s="1"/>
  <c r="BB35" i="5" s="1"/>
  <c r="R36" i="5"/>
  <c r="Z36" i="5" s="1"/>
  <c r="AH36" i="5" s="1"/>
  <c r="AP36" i="5" s="1"/>
  <c r="AV36" i="5" s="1"/>
  <c r="BB36" i="5" s="1"/>
  <c r="U36" i="5"/>
  <c r="R37" i="5"/>
  <c r="Z37" i="5" s="1"/>
  <c r="AH37" i="5" s="1"/>
  <c r="AP37" i="5" s="1"/>
  <c r="AV37" i="5" s="1"/>
  <c r="BB37" i="5" s="1"/>
  <c r="U37" i="5"/>
  <c r="R38" i="5"/>
  <c r="Z38" i="5" s="1"/>
  <c r="AH38" i="5" s="1"/>
  <c r="AP38" i="5" s="1"/>
  <c r="AV38" i="5" s="1"/>
  <c r="BB38" i="5" s="1"/>
  <c r="U38" i="5"/>
  <c r="R39" i="5"/>
  <c r="Z39" i="5" s="1"/>
  <c r="AH39" i="5" s="1"/>
  <c r="AP39" i="5" s="1"/>
  <c r="AV39" i="5" s="1"/>
  <c r="BB39" i="5" s="1"/>
  <c r="U39" i="5"/>
  <c r="F1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7" i="4"/>
  <c r="F39" i="4"/>
  <c r="F43" i="4" s="1"/>
  <c r="G28" i="4" s="1"/>
  <c r="F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V23" i="7" l="1"/>
  <c r="W23" i="7" s="1"/>
  <c r="X23" i="7" s="1"/>
  <c r="Y23" i="7" s="1"/>
  <c r="V19" i="7"/>
  <c r="W19" i="7"/>
  <c r="X19" i="7" s="1"/>
  <c r="Y19" i="7" s="1"/>
  <c r="W13" i="7"/>
  <c r="V11" i="7"/>
  <c r="W11" i="7" s="1"/>
  <c r="X11" i="7" s="1"/>
  <c r="T33" i="7"/>
  <c r="T29" i="7"/>
  <c r="T25" i="7"/>
  <c r="V32" i="7" s="1"/>
  <c r="W32" i="7" s="1"/>
  <c r="X32" i="7" s="1"/>
  <c r="Y32" i="7" s="1"/>
  <c r="T21" i="7"/>
  <c r="V22" i="7" s="1"/>
  <c r="T17" i="7"/>
  <c r="V21" i="7" s="1"/>
  <c r="W21" i="7" s="1"/>
  <c r="X21" i="7" s="1"/>
  <c r="Y21" i="7" s="1"/>
  <c r="X13" i="7"/>
  <c r="Y13" i="7" s="1"/>
  <c r="T13" i="7"/>
  <c r="V14" i="7" s="1"/>
  <c r="U34" i="7"/>
  <c r="U30" i="7"/>
  <c r="U26" i="7"/>
  <c r="U22" i="7"/>
  <c r="W22" i="7" s="1"/>
  <c r="X22" i="7" s="1"/>
  <c r="Y22" i="7" s="1"/>
  <c r="U18" i="7"/>
  <c r="U14" i="7"/>
  <c r="W14" i="7" s="1"/>
  <c r="X14" i="7" s="1"/>
  <c r="Y14" i="7" s="1"/>
  <c r="U36" i="7"/>
  <c r="AI35" i="6"/>
  <c r="AI27" i="6"/>
  <c r="T20" i="6"/>
  <c r="U21" i="6" s="1"/>
  <c r="V21" i="6" s="1"/>
  <c r="W21" i="6" s="1"/>
  <c r="T24" i="6"/>
  <c r="U25" i="6" s="1"/>
  <c r="V25" i="6" s="1"/>
  <c r="W25" i="6" s="1"/>
  <c r="T23" i="6"/>
  <c r="U24" i="6" s="1"/>
  <c r="AA19" i="6"/>
  <c r="T22" i="6"/>
  <c r="U23" i="6" s="1"/>
  <c r="V23" i="6" s="1"/>
  <c r="W23" i="6" s="1"/>
  <c r="Z35" i="6"/>
  <c r="AH35" i="6" s="1"/>
  <c r="R36" i="6"/>
  <c r="AI34" i="6"/>
  <c r="V30" i="6"/>
  <c r="W30" i="6" s="1"/>
  <c r="T32" i="6"/>
  <c r="U33" i="6" s="1"/>
  <c r="V33" i="6" s="1"/>
  <c r="W33" i="6" s="1"/>
  <c r="AA28" i="6"/>
  <c r="T31" i="6"/>
  <c r="U32" i="6" s="1"/>
  <c r="T34" i="6"/>
  <c r="U35" i="6" s="1"/>
  <c r="V35" i="6" s="1"/>
  <c r="W35" i="6" s="1"/>
  <c r="AB30" i="6"/>
  <c r="AC31" i="6" s="1"/>
  <c r="AI26" i="6"/>
  <c r="V22" i="6"/>
  <c r="W22" i="6" s="1"/>
  <c r="AA20" i="6"/>
  <c r="T26" i="6"/>
  <c r="U27" i="6" s="1"/>
  <c r="V27" i="6" s="1"/>
  <c r="W27" i="6" s="1"/>
  <c r="AB22" i="6"/>
  <c r="AC23" i="6" s="1"/>
  <c r="AD23" i="6" s="1"/>
  <c r="AE23" i="6" s="1"/>
  <c r="AB21" i="6"/>
  <c r="AC22" i="6" s="1"/>
  <c r="AI18" i="6"/>
  <c r="AI31" i="6"/>
  <c r="AD31" i="6"/>
  <c r="AE31" i="6" s="1"/>
  <c r="T25" i="6"/>
  <c r="U26" i="6" s="1"/>
  <c r="AI23" i="6"/>
  <c r="T19" i="6"/>
  <c r="U20" i="6" s="1"/>
  <c r="V20" i="6" s="1"/>
  <c r="AA13" i="6"/>
  <c r="V34" i="6"/>
  <c r="W34" i="6" s="1"/>
  <c r="AA32" i="6"/>
  <c r="T35" i="6"/>
  <c r="U36" i="6" s="1"/>
  <c r="U37" i="6" s="1"/>
  <c r="U38" i="6" s="1"/>
  <c r="U39" i="6" s="1"/>
  <c r="V32" i="6"/>
  <c r="W32" i="6" s="1"/>
  <c r="AB34" i="6"/>
  <c r="AC35" i="6" s="1"/>
  <c r="AD35" i="6" s="1"/>
  <c r="AE35" i="6" s="1"/>
  <c r="AI30" i="6"/>
  <c r="AB33" i="6"/>
  <c r="AC34" i="6" s="1"/>
  <c r="AD34" i="6" s="1"/>
  <c r="AE34" i="6" s="1"/>
  <c r="V26" i="6"/>
  <c r="W26" i="6" s="1"/>
  <c r="T28" i="6"/>
  <c r="U29" i="6" s="1"/>
  <c r="V29" i="6" s="1"/>
  <c r="W29" i="6" s="1"/>
  <c r="AA24" i="6"/>
  <c r="T27" i="6"/>
  <c r="U28" i="6" s="1"/>
  <c r="V28" i="6" s="1"/>
  <c r="W28" i="6" s="1"/>
  <c r="V24" i="6"/>
  <c r="W24" i="6" s="1"/>
  <c r="T30" i="6"/>
  <c r="U31" i="6" s="1"/>
  <c r="V31" i="6" s="1"/>
  <c r="W31" i="6" s="1"/>
  <c r="AB26" i="6"/>
  <c r="AC27" i="6" s="1"/>
  <c r="AD27" i="6" s="1"/>
  <c r="AE27" i="6" s="1"/>
  <c r="AI22" i="6"/>
  <c r="AD22" i="6"/>
  <c r="AE22" i="6" s="1"/>
  <c r="AI16" i="6"/>
  <c r="AB20" i="6"/>
  <c r="AC21" i="6" s="1"/>
  <c r="AD21" i="6" s="1"/>
  <c r="AE21" i="6" s="1"/>
  <c r="AW35" i="5"/>
  <c r="AJ35" i="5"/>
  <c r="AK36" i="5" s="1"/>
  <c r="AK37" i="5" s="1"/>
  <c r="AK38" i="5" s="1"/>
  <c r="AK39" i="5" s="1"/>
  <c r="AQ33" i="5"/>
  <c r="AB35" i="5"/>
  <c r="AC36" i="5" s="1"/>
  <c r="AC37" i="5" s="1"/>
  <c r="AC38" i="5" s="1"/>
  <c r="AC39" i="5" s="1"/>
  <c r="AI31" i="5"/>
  <c r="AW32" i="5"/>
  <c r="AR35" i="5"/>
  <c r="AS35" i="5" s="1"/>
  <c r="AT35" i="5" s="1"/>
  <c r="BC34" i="5"/>
  <c r="AB33" i="5"/>
  <c r="AC34" i="5" s="1"/>
  <c r="AD34" i="5" s="1"/>
  <c r="AE34" i="5" s="1"/>
  <c r="V28" i="5"/>
  <c r="W28" i="5" s="1"/>
  <c r="AD24" i="5"/>
  <c r="AE24" i="5" s="1"/>
  <c r="AA30" i="5"/>
  <c r="AI24" i="5"/>
  <c r="AB27" i="5"/>
  <c r="AC28" i="5" s="1"/>
  <c r="AB26" i="5"/>
  <c r="AC27" i="5" s="1"/>
  <c r="AD27" i="5" s="1"/>
  <c r="AE27" i="5" s="1"/>
  <c r="AQ29" i="5"/>
  <c r="T28" i="5"/>
  <c r="U29" i="5" s="1"/>
  <c r="V29" i="5" s="1"/>
  <c r="W29" i="5" s="1"/>
  <c r="T30" i="5"/>
  <c r="U31" i="5" s="1"/>
  <c r="V31" i="5" s="1"/>
  <c r="W31" i="5" s="1"/>
  <c r="T32" i="5"/>
  <c r="U33" i="5" s="1"/>
  <c r="V33" i="5" s="1"/>
  <c r="W33" i="5" s="1"/>
  <c r="AA28" i="5"/>
  <c r="T29" i="5"/>
  <c r="U30" i="5" s="1"/>
  <c r="V30" i="5" s="1"/>
  <c r="W30" i="5" s="1"/>
  <c r="T31" i="5"/>
  <c r="U32" i="5" s="1"/>
  <c r="V32" i="5" s="1"/>
  <c r="W32" i="5" s="1"/>
  <c r="T33" i="5"/>
  <c r="U34" i="5" s="1"/>
  <c r="V34" i="5" s="1"/>
  <c r="W34" i="5" s="1"/>
  <c r="BC25" i="5"/>
  <c r="BC23" i="5"/>
  <c r="BC21" i="5"/>
  <c r="AI27" i="5"/>
  <c r="AJ26" i="5"/>
  <c r="AK27" i="5" s="1"/>
  <c r="AL27" i="5" s="1"/>
  <c r="AM27" i="5" s="1"/>
  <c r="AW19" i="5"/>
  <c r="BC19" i="5" s="1"/>
  <c r="AA18" i="5"/>
  <c r="T19" i="5"/>
  <c r="U20" i="5" s="1"/>
  <c r="V20" i="5" s="1"/>
  <c r="W20" i="5" s="1"/>
  <c r="T21" i="5"/>
  <c r="U22" i="5" s="1"/>
  <c r="V22" i="5" s="1"/>
  <c r="W22" i="5" s="1"/>
  <c r="T23" i="5"/>
  <c r="U24" i="5" s="1"/>
  <c r="V24" i="5" s="1"/>
  <c r="W24" i="5" s="1"/>
  <c r="AB24" i="5"/>
  <c r="AC25" i="5" s="1"/>
  <c r="AD25" i="5" s="1"/>
  <c r="AE25" i="5" s="1"/>
  <c r="AI20" i="5"/>
  <c r="AI15" i="5"/>
  <c r="AB19" i="5"/>
  <c r="AC20" i="5" s="1"/>
  <c r="AD20" i="5" s="1"/>
  <c r="AE20" i="5" s="1"/>
  <c r="AJ16" i="5"/>
  <c r="AK17" i="5" s="1"/>
  <c r="AL17" i="5" s="1"/>
  <c r="AQ13" i="5"/>
  <c r="AQ22" i="5"/>
  <c r="AR24" i="5" s="1"/>
  <c r="AB20" i="5"/>
  <c r="AC21" i="5" s="1"/>
  <c r="AD21" i="5" s="1"/>
  <c r="AE21" i="5" s="1"/>
  <c r="AI17" i="5"/>
  <c r="AQ16" i="5"/>
  <c r="AI14" i="5"/>
  <c r="AB18" i="5"/>
  <c r="AC19" i="5" s="1"/>
  <c r="AD19" i="5" s="1"/>
  <c r="AB17" i="5"/>
  <c r="AC18" i="5" s="1"/>
  <c r="AD18" i="5" s="1"/>
  <c r="Y11" i="7" l="1"/>
  <c r="W34" i="7"/>
  <c r="X34" i="7" s="1"/>
  <c r="Y34" i="7" s="1"/>
  <c r="V30" i="7"/>
  <c r="V36" i="7"/>
  <c r="V37" i="7" s="1"/>
  <c r="V38" i="7" s="1"/>
  <c r="V39" i="7" s="1"/>
  <c r="V17" i="7"/>
  <c r="W17" i="7" s="1"/>
  <c r="X17" i="7" s="1"/>
  <c r="Y17" i="7" s="1"/>
  <c r="V31" i="7"/>
  <c r="W31" i="7" s="1"/>
  <c r="X31" i="7" s="1"/>
  <c r="Y31" i="7" s="1"/>
  <c r="V24" i="7"/>
  <c r="W24" i="7" s="1"/>
  <c r="X24" i="7" s="1"/>
  <c r="Y24" i="7" s="1"/>
  <c r="V29" i="7"/>
  <c r="W29" i="7" s="1"/>
  <c r="X29" i="7" s="1"/>
  <c r="Y29" i="7" s="1"/>
  <c r="U37" i="7"/>
  <c r="W36" i="7"/>
  <c r="V16" i="7"/>
  <c r="W16" i="7" s="1"/>
  <c r="X16" i="7" s="1"/>
  <c r="Y16" i="7" s="1"/>
  <c r="V20" i="7"/>
  <c r="W20" i="7" s="1"/>
  <c r="X20" i="7" s="1"/>
  <c r="Y20" i="7" s="1"/>
  <c r="V25" i="7"/>
  <c r="W25" i="7" s="1"/>
  <c r="X25" i="7" s="1"/>
  <c r="Y25" i="7" s="1"/>
  <c r="W30" i="7"/>
  <c r="X30" i="7" s="1"/>
  <c r="Y30" i="7" s="1"/>
  <c r="V18" i="7"/>
  <c r="W18" i="7" s="1"/>
  <c r="X18" i="7" s="1"/>
  <c r="Y18" i="7" s="1"/>
  <c r="V26" i="7"/>
  <c r="W26" i="7" s="1"/>
  <c r="X26" i="7" s="1"/>
  <c r="Y26" i="7" s="1"/>
  <c r="V34" i="7"/>
  <c r="V15" i="7"/>
  <c r="W15" i="7" s="1"/>
  <c r="X15" i="7" s="1"/>
  <c r="Y15" i="7" s="1"/>
  <c r="V28" i="7"/>
  <c r="W28" i="7" s="1"/>
  <c r="X28" i="7" s="1"/>
  <c r="Y28" i="7" s="1"/>
  <c r="V33" i="7"/>
  <c r="W33" i="7" s="1"/>
  <c r="X33" i="7" s="1"/>
  <c r="Y33" i="7" s="1"/>
  <c r="V27" i="7"/>
  <c r="W27" i="7" s="1"/>
  <c r="X27" i="7" s="1"/>
  <c r="Y27" i="7" s="1"/>
  <c r="V35" i="7"/>
  <c r="W35" i="7" s="1"/>
  <c r="X35" i="7" s="1"/>
  <c r="Y35" i="7" s="1"/>
  <c r="V11" i="6"/>
  <c r="W20" i="6"/>
  <c r="W11" i="6" s="1"/>
  <c r="W12" i="6" s="1"/>
  <c r="AJ28" i="6"/>
  <c r="AK29" i="6" s="1"/>
  <c r="AL29" i="6" s="1"/>
  <c r="AM29" i="6" s="1"/>
  <c r="AJ18" i="6"/>
  <c r="AK19" i="6" s="1"/>
  <c r="AB28" i="6"/>
  <c r="AC29" i="6" s="1"/>
  <c r="AD29" i="6" s="1"/>
  <c r="AE29" i="6" s="1"/>
  <c r="AI24" i="6"/>
  <c r="AJ26" i="6" s="1"/>
  <c r="AK27" i="6" s="1"/>
  <c r="AL27" i="6" s="1"/>
  <c r="AM27" i="6" s="1"/>
  <c r="AB27" i="6"/>
  <c r="AC28" i="6" s="1"/>
  <c r="AI32" i="6"/>
  <c r="AB35" i="6"/>
  <c r="AC36" i="6" s="1"/>
  <c r="AC37" i="6" s="1"/>
  <c r="AC38" i="6" s="1"/>
  <c r="AC39" i="6" s="1"/>
  <c r="Z36" i="6"/>
  <c r="AH36" i="6" s="1"/>
  <c r="R37" i="6"/>
  <c r="AI19" i="6"/>
  <c r="AJ21" i="6" s="1"/>
  <c r="AK22" i="6" s="1"/>
  <c r="AL22" i="6" s="1"/>
  <c r="AM22" i="6" s="1"/>
  <c r="AB19" i="6"/>
  <c r="AC20" i="6" s="1"/>
  <c r="AB23" i="6"/>
  <c r="AC24" i="6" s="1"/>
  <c r="AD24" i="6" s="1"/>
  <c r="AE24" i="6" s="1"/>
  <c r="AD28" i="6"/>
  <c r="AE28" i="6" s="1"/>
  <c r="AB32" i="6"/>
  <c r="AC33" i="6" s="1"/>
  <c r="AD33" i="6" s="1"/>
  <c r="AE33" i="6" s="1"/>
  <c r="AI28" i="6"/>
  <c r="AB31" i="6"/>
  <c r="AC32" i="6" s="1"/>
  <c r="AD32" i="6" s="1"/>
  <c r="AE32" i="6" s="1"/>
  <c r="AJ17" i="6"/>
  <c r="AK18" i="6" s="1"/>
  <c r="AB25" i="6"/>
  <c r="AC26" i="6" s="1"/>
  <c r="AD26" i="6" s="1"/>
  <c r="AE26" i="6" s="1"/>
  <c r="AB29" i="6"/>
  <c r="AC30" i="6" s="1"/>
  <c r="AD30" i="6" s="1"/>
  <c r="AE30" i="6" s="1"/>
  <c r="AJ30" i="6"/>
  <c r="AK31" i="6" s="1"/>
  <c r="AL31" i="6" s="1"/>
  <c r="AM31" i="6" s="1"/>
  <c r="AJ25" i="6"/>
  <c r="AK26" i="6" s="1"/>
  <c r="AB17" i="6"/>
  <c r="AC18" i="6" s="1"/>
  <c r="AI13" i="6"/>
  <c r="AJ32" i="6"/>
  <c r="AK33" i="6" s="1"/>
  <c r="AL33" i="6" s="1"/>
  <c r="AM33" i="6" s="1"/>
  <c r="AD20" i="6"/>
  <c r="AB24" i="6"/>
  <c r="AC25" i="6" s="1"/>
  <c r="AD25" i="6" s="1"/>
  <c r="AE25" i="6" s="1"/>
  <c r="AI20" i="6"/>
  <c r="AL26" i="6"/>
  <c r="AM26" i="6" s="1"/>
  <c r="AJ29" i="6"/>
  <c r="AK30" i="6" s="1"/>
  <c r="AL30" i="6" s="1"/>
  <c r="AM30" i="6" s="1"/>
  <c r="AQ27" i="5"/>
  <c r="AB32" i="5"/>
  <c r="AC33" i="5" s="1"/>
  <c r="AD33" i="5" s="1"/>
  <c r="AE33" i="5" s="1"/>
  <c r="AI28" i="5"/>
  <c r="AW29" i="5"/>
  <c r="AQ24" i="5"/>
  <c r="AJ27" i="5"/>
  <c r="AK28" i="5" s="1"/>
  <c r="AL28" i="5" s="1"/>
  <c r="AM28" i="5" s="1"/>
  <c r="AJ24" i="5"/>
  <c r="AK25" i="5" s="1"/>
  <c r="AL25" i="5" s="1"/>
  <c r="AM25" i="5" s="1"/>
  <c r="AQ14" i="5"/>
  <c r="AJ17" i="5"/>
  <c r="AK18" i="5" s="1"/>
  <c r="AJ15" i="5"/>
  <c r="AK16" i="5" s="1"/>
  <c r="AL16" i="5" s="1"/>
  <c r="AW13" i="5"/>
  <c r="BC13" i="5" s="1"/>
  <c r="AX18" i="5"/>
  <c r="AJ23" i="5"/>
  <c r="AK24" i="5" s="1"/>
  <c r="AL24" i="5" s="1"/>
  <c r="AM24" i="5" s="1"/>
  <c r="AQ20" i="5"/>
  <c r="AJ22" i="5"/>
  <c r="AK23" i="5" s="1"/>
  <c r="AL23" i="5" s="1"/>
  <c r="AM23" i="5" s="1"/>
  <c r="AB30" i="5"/>
  <c r="AC31" i="5" s="1"/>
  <c r="AD31" i="5" s="1"/>
  <c r="AE31" i="5" s="1"/>
  <c r="AD28" i="5"/>
  <c r="AE28" i="5" s="1"/>
  <c r="AQ31" i="5"/>
  <c r="AJ34" i="5"/>
  <c r="AK35" i="5" s="1"/>
  <c r="AL35" i="5" s="1"/>
  <c r="AM35" i="5" s="1"/>
  <c r="AW16" i="5"/>
  <c r="BC16" i="5" s="1"/>
  <c r="AJ25" i="5"/>
  <c r="AK26" i="5" s="1"/>
  <c r="AL26" i="5" s="1"/>
  <c r="AM26" i="5" s="1"/>
  <c r="W11" i="5"/>
  <c r="W12" i="5" s="1"/>
  <c r="AB31" i="5"/>
  <c r="AC32" i="5" s="1"/>
  <c r="AD32" i="5" s="1"/>
  <c r="AE32" i="5" s="1"/>
  <c r="AB28" i="5"/>
  <c r="AC29" i="5" s="1"/>
  <c r="AD29" i="5" s="1"/>
  <c r="AE29" i="5" s="1"/>
  <c r="AB34" i="5"/>
  <c r="AC35" i="5" s="1"/>
  <c r="AD35" i="5" s="1"/>
  <c r="AE35" i="5" s="1"/>
  <c r="AI30" i="5"/>
  <c r="BC32" i="5"/>
  <c r="AW22" i="5"/>
  <c r="BD28" i="5"/>
  <c r="AR25" i="5"/>
  <c r="AS25" i="5" s="1"/>
  <c r="AT25" i="5" s="1"/>
  <c r="AX27" i="5"/>
  <c r="AX26" i="5"/>
  <c r="AY26" i="5" s="1"/>
  <c r="AZ26" i="5" s="1"/>
  <c r="AJ20" i="5"/>
  <c r="AK21" i="5" s="1"/>
  <c r="AL21" i="5" s="1"/>
  <c r="AM21" i="5" s="1"/>
  <c r="AQ17" i="5"/>
  <c r="AJ28" i="5"/>
  <c r="AK29" i="5" s="1"/>
  <c r="AL29" i="5" s="1"/>
  <c r="AM29" i="5" s="1"/>
  <c r="AQ15" i="5"/>
  <c r="AR16" i="5" s="1"/>
  <c r="AJ18" i="5"/>
  <c r="AK19" i="5" s="1"/>
  <c r="AL19" i="5" s="1"/>
  <c r="AB22" i="5"/>
  <c r="AC23" i="5" s="1"/>
  <c r="AD23" i="5" s="1"/>
  <c r="AE23" i="5" s="1"/>
  <c r="AI18" i="5"/>
  <c r="AB21" i="5"/>
  <c r="AC22" i="5" s="1"/>
  <c r="AD22" i="5" s="1"/>
  <c r="AE22" i="5" s="1"/>
  <c r="AE11" i="5" s="1"/>
  <c r="AE12" i="5" s="1"/>
  <c r="AJ29" i="5"/>
  <c r="AK30" i="5" s="1"/>
  <c r="AL30" i="5" s="1"/>
  <c r="AM30" i="5" s="1"/>
  <c r="AB29" i="5"/>
  <c r="AC30" i="5" s="1"/>
  <c r="AD30" i="5" s="1"/>
  <c r="AE30" i="5" s="1"/>
  <c r="AW33" i="5"/>
  <c r="AR36" i="5"/>
  <c r="AR37" i="5" s="1"/>
  <c r="AR38" i="5" s="1"/>
  <c r="AR39" i="5" s="1"/>
  <c r="BC35" i="5"/>
  <c r="U38" i="7" l="1"/>
  <c r="W37" i="7"/>
  <c r="X3" i="7"/>
  <c r="Y3" i="7"/>
  <c r="Y4" i="7" s="1"/>
  <c r="AJ35" i="6"/>
  <c r="AK36" i="6" s="1"/>
  <c r="AK37" i="6" s="1"/>
  <c r="AK38" i="6" s="1"/>
  <c r="AK39" i="6" s="1"/>
  <c r="AJ23" i="6"/>
  <c r="AK24" i="6" s="1"/>
  <c r="AL20" i="6"/>
  <c r="AJ15" i="6"/>
  <c r="AK16" i="6" s="1"/>
  <c r="AJ16" i="6"/>
  <c r="AK17" i="6" s="1"/>
  <c r="AJ31" i="6"/>
  <c r="AK32" i="6" s="1"/>
  <c r="AL32" i="6" s="1"/>
  <c r="AM32" i="6" s="1"/>
  <c r="AL28" i="6"/>
  <c r="AM28" i="6" s="1"/>
  <c r="AJ22" i="6"/>
  <c r="AK23" i="6" s="1"/>
  <c r="AL23" i="6" s="1"/>
  <c r="AM23" i="6" s="1"/>
  <c r="AJ20" i="6"/>
  <c r="AK21" i="6" s="1"/>
  <c r="AL21" i="6" s="1"/>
  <c r="AM21" i="6" s="1"/>
  <c r="AJ34" i="6"/>
  <c r="AK35" i="6" s="1"/>
  <c r="AL35" i="6" s="1"/>
  <c r="AM35" i="6" s="1"/>
  <c r="AJ33" i="6"/>
  <c r="AK34" i="6" s="1"/>
  <c r="AL34" i="6" s="1"/>
  <c r="AM34" i="6" s="1"/>
  <c r="AJ19" i="6"/>
  <c r="AK20" i="6" s="1"/>
  <c r="AD11" i="6"/>
  <c r="AE20" i="6"/>
  <c r="AE11" i="6" s="1"/>
  <c r="AE12" i="6" s="1"/>
  <c r="Z37" i="6"/>
  <c r="AH37" i="6" s="1"/>
  <c r="R38" i="6"/>
  <c r="AJ27" i="6"/>
  <c r="AK28" i="6" s="1"/>
  <c r="AL24" i="6"/>
  <c r="AM24" i="6" s="1"/>
  <c r="AJ24" i="6"/>
  <c r="AK25" i="6" s="1"/>
  <c r="AL25" i="6" s="1"/>
  <c r="AM25" i="6" s="1"/>
  <c r="AW17" i="5"/>
  <c r="BC17" i="5" s="1"/>
  <c r="BC22" i="5"/>
  <c r="AJ33" i="5"/>
  <c r="AK34" i="5" s="1"/>
  <c r="AL34" i="5" s="1"/>
  <c r="AM34" i="5" s="1"/>
  <c r="AQ30" i="5"/>
  <c r="AJ32" i="5"/>
  <c r="AK33" i="5" s="1"/>
  <c r="AL33" i="5" s="1"/>
  <c r="AM33" i="5" s="1"/>
  <c r="AQ28" i="5"/>
  <c r="AJ31" i="5"/>
  <c r="AK32" i="5" s="1"/>
  <c r="AL32" i="5" s="1"/>
  <c r="AM32" i="5" s="1"/>
  <c r="BE32" i="5"/>
  <c r="BF32" i="5" s="1"/>
  <c r="AW31" i="5"/>
  <c r="AR34" i="5"/>
  <c r="AS34" i="5" s="1"/>
  <c r="AT34" i="5" s="1"/>
  <c r="AX36" i="5"/>
  <c r="AX37" i="5" s="1"/>
  <c r="AX38" i="5" s="1"/>
  <c r="AX39" i="5" s="1"/>
  <c r="BC33" i="5"/>
  <c r="AR18" i="5"/>
  <c r="AW15" i="5"/>
  <c r="BC15" i="5" s="1"/>
  <c r="BD20" i="5"/>
  <c r="AL18" i="5"/>
  <c r="AW24" i="5"/>
  <c r="AS24" i="5"/>
  <c r="AT24" i="5" s="1"/>
  <c r="AR27" i="5"/>
  <c r="AS27" i="5" s="1"/>
  <c r="AT27" i="5" s="1"/>
  <c r="BD30" i="5"/>
  <c r="BD31" i="5"/>
  <c r="AX28" i="5"/>
  <c r="AX29" i="5"/>
  <c r="AR26" i="5"/>
  <c r="AS26" i="5" s="1"/>
  <c r="AT26" i="5" s="1"/>
  <c r="AW27" i="5"/>
  <c r="AR30" i="5"/>
  <c r="BD33" i="5"/>
  <c r="AX32" i="5"/>
  <c r="AY32" i="5" s="1"/>
  <c r="AZ32" i="5" s="1"/>
  <c r="BD34" i="5"/>
  <c r="BE34" i="5" s="1"/>
  <c r="BF34" i="5" s="1"/>
  <c r="AX31" i="5"/>
  <c r="AX30" i="5"/>
  <c r="BD32" i="5"/>
  <c r="AR28" i="5"/>
  <c r="AR29" i="5"/>
  <c r="AS29" i="5" s="1"/>
  <c r="AT29" i="5" s="1"/>
  <c r="AJ21" i="5"/>
  <c r="AK22" i="5" s="1"/>
  <c r="AL22" i="5" s="1"/>
  <c r="AM22" i="5" s="1"/>
  <c r="AQ18" i="5"/>
  <c r="AJ19" i="5"/>
  <c r="AK20" i="5" s="1"/>
  <c r="AL20" i="5" s="1"/>
  <c r="AM20" i="5" s="1"/>
  <c r="BD23" i="5"/>
  <c r="BE23" i="5" s="1"/>
  <c r="BF23" i="5" s="1"/>
  <c r="AW20" i="5"/>
  <c r="AX25" i="5"/>
  <c r="AY25" i="5" s="1"/>
  <c r="AZ25" i="5" s="1"/>
  <c r="AR23" i="5"/>
  <c r="AS23" i="5" s="1"/>
  <c r="AT23" i="5" s="1"/>
  <c r="BD26" i="5"/>
  <c r="BE26" i="5" s="1"/>
  <c r="BF26" i="5" s="1"/>
  <c r="BD27" i="5"/>
  <c r="AR22" i="5"/>
  <c r="AS22" i="5" s="1"/>
  <c r="AT22" i="5" s="1"/>
  <c r="AX24" i="5"/>
  <c r="AW14" i="5"/>
  <c r="BC14" i="5" s="1"/>
  <c r="AX19" i="5"/>
  <c r="BD21" i="5"/>
  <c r="BE21" i="5" s="1"/>
  <c r="BF21" i="5" s="1"/>
  <c r="AR17" i="5"/>
  <c r="AY29" i="5"/>
  <c r="AZ29" i="5" s="1"/>
  <c r="BC29" i="5"/>
  <c r="AJ30" i="5"/>
  <c r="AK31" i="5" s="1"/>
  <c r="AL31" i="5" s="1"/>
  <c r="AM31" i="5" s="1"/>
  <c r="U39" i="7" l="1"/>
  <c r="W39" i="7" s="1"/>
  <c r="W38" i="7"/>
  <c r="AL11" i="6"/>
  <c r="AM20" i="6"/>
  <c r="AM11" i="6" s="1"/>
  <c r="AM12" i="6" s="1"/>
  <c r="R39" i="6"/>
  <c r="Z39" i="6" s="1"/>
  <c r="AH39" i="6" s="1"/>
  <c r="Z38" i="6"/>
  <c r="AH38" i="6" s="1"/>
  <c r="AW18" i="5"/>
  <c r="BC18" i="5" s="1"/>
  <c r="AX23" i="5"/>
  <c r="AY23" i="5" s="1"/>
  <c r="AZ23" i="5" s="1"/>
  <c r="AR21" i="5"/>
  <c r="AS21" i="5" s="1"/>
  <c r="AT21" i="5" s="1"/>
  <c r="BD25" i="5"/>
  <c r="BE25" i="5" s="1"/>
  <c r="BF25" i="5" s="1"/>
  <c r="BC27" i="5"/>
  <c r="BE27" i="5" s="1"/>
  <c r="BF27" i="5" s="1"/>
  <c r="AY27" i="5"/>
  <c r="AZ27" i="5" s="1"/>
  <c r="BC24" i="5"/>
  <c r="AY24" i="5"/>
  <c r="AZ24" i="5" s="1"/>
  <c r="BD22" i="5"/>
  <c r="BE33" i="5"/>
  <c r="BF33" i="5" s="1"/>
  <c r="AR31" i="5"/>
  <c r="AS31" i="5" s="1"/>
  <c r="AT31" i="5" s="1"/>
  <c r="AW28" i="5"/>
  <c r="AX33" i="5"/>
  <c r="AY33" i="5" s="1"/>
  <c r="AZ33" i="5" s="1"/>
  <c r="BD35" i="5"/>
  <c r="BE35" i="5" s="1"/>
  <c r="BF35" i="5" s="1"/>
  <c r="AS28" i="5"/>
  <c r="AT28" i="5" s="1"/>
  <c r="BD29" i="5"/>
  <c r="BE29" i="5" s="1"/>
  <c r="BF29" i="5" s="1"/>
  <c r="AX22" i="5"/>
  <c r="AY22" i="5" s="1"/>
  <c r="AZ22" i="5" s="1"/>
  <c r="BC20" i="5"/>
  <c r="BE20" i="5" s="1"/>
  <c r="AY31" i="5"/>
  <c r="AZ31" i="5" s="1"/>
  <c r="BC31" i="5"/>
  <c r="BE31" i="5" s="1"/>
  <c r="BF31" i="5" s="1"/>
  <c r="AX21" i="5"/>
  <c r="AY21" i="5" s="1"/>
  <c r="AZ21" i="5" s="1"/>
  <c r="BE22" i="5"/>
  <c r="BF22" i="5" s="1"/>
  <c r="AR20" i="5"/>
  <c r="AS20" i="5" s="1"/>
  <c r="AM11" i="5"/>
  <c r="AM12" i="5" s="1"/>
  <c r="AR19" i="5"/>
  <c r="AX20" i="5"/>
  <c r="AY20" i="5" s="1"/>
  <c r="AW30" i="5"/>
  <c r="AR33" i="5"/>
  <c r="AS33" i="5" s="1"/>
  <c r="AT33" i="5" s="1"/>
  <c r="AS30" i="5"/>
  <c r="AT30" i="5" s="1"/>
  <c r="AX35" i="5"/>
  <c r="AY35" i="5" s="1"/>
  <c r="AZ35" i="5" s="1"/>
  <c r="AX34" i="5"/>
  <c r="AY34" i="5" s="1"/>
  <c r="AZ34" i="5" s="1"/>
  <c r="AR32" i="5"/>
  <c r="AS32" i="5" s="1"/>
  <c r="AT32" i="5" s="1"/>
  <c r="BD36" i="5"/>
  <c r="BD37" i="5" s="1"/>
  <c r="BD38" i="5" s="1"/>
  <c r="BD39" i="5" s="1"/>
  <c r="BD24" i="5"/>
  <c r="AZ20" i="5" l="1"/>
  <c r="BE24" i="5"/>
  <c r="BF24" i="5" s="1"/>
  <c r="BF20" i="5"/>
  <c r="AY30" i="5"/>
  <c r="AZ30" i="5" s="1"/>
  <c r="BC30" i="5"/>
  <c r="BE30" i="5" s="1"/>
  <c r="BF30" i="5" s="1"/>
  <c r="AS11" i="5"/>
  <c r="AT20" i="5"/>
  <c r="AT11" i="5" s="1"/>
  <c r="AT12" i="5" s="1"/>
  <c r="AY28" i="5"/>
  <c r="AZ28" i="5" s="1"/>
  <c r="BC28" i="5"/>
  <c r="BE28" i="5" s="1"/>
  <c r="BF28" i="5" s="1"/>
  <c r="BF11" i="5" l="1"/>
  <c r="BF12" i="5" s="1"/>
  <c r="AY11" i="5"/>
  <c r="BE11" i="5"/>
  <c r="AZ11" i="5"/>
  <c r="AZ12" i="5" s="1"/>
</calcChain>
</file>

<file path=xl/sharedStrings.xml><?xml version="1.0" encoding="utf-8"?>
<sst xmlns="http://schemas.openxmlformats.org/spreadsheetml/2006/main" count="290" uniqueCount="124">
  <si>
    <t>$</t>
  </si>
  <si>
    <t>$ Thousands</t>
  </si>
  <si>
    <t>$ Millions</t>
  </si>
  <si>
    <t>Year</t>
  </si>
  <si>
    <t xml:space="preserve">    General Government</t>
  </si>
  <si>
    <t>a</t>
  </si>
  <si>
    <t>b</t>
  </si>
  <si>
    <t>col!</t>
  </si>
  <si>
    <t>W=SD*3+M</t>
  </si>
  <si>
    <t>Three</t>
  </si>
  <si>
    <t>Standard Deviation</t>
  </si>
  <si>
    <t>Average</t>
  </si>
  <si>
    <t>Rental Income Adjusted</t>
  </si>
  <si>
    <t xml:space="preserve">    Rental Income</t>
  </si>
  <si>
    <t>RMSE</t>
  </si>
  <si>
    <t>Root</t>
  </si>
  <si>
    <t>Mean</t>
  </si>
  <si>
    <t>MA7 FC</t>
  </si>
  <si>
    <t>MA5 FC</t>
  </si>
  <si>
    <t>ErrorSQ</t>
  </si>
  <si>
    <t>Error</t>
  </si>
  <si>
    <t>MA3 FC</t>
  </si>
  <si>
    <t>MA3P</t>
  </si>
  <si>
    <t>MA5P</t>
  </si>
  <si>
    <t>Error Squared</t>
  </si>
  <si>
    <t>Forecast</t>
  </si>
  <si>
    <t>MA7P</t>
  </si>
  <si>
    <t>Forfeitures</t>
  </si>
  <si>
    <t>j</t>
  </si>
  <si>
    <t>Off Trend MA7P</t>
  </si>
  <si>
    <t>Offset Level MA7P</t>
  </si>
  <si>
    <t>Trend</t>
  </si>
  <si>
    <t>General Sales</t>
  </si>
  <si>
    <t>r</t>
  </si>
  <si>
    <t>Antilog Predicted</t>
  </si>
  <si>
    <t>Residuals</t>
  </si>
  <si>
    <t>Predicted Log Revenue</t>
  </si>
  <si>
    <t>Observation</t>
  </si>
  <si>
    <t>Durbin Watson</t>
  </si>
  <si>
    <t>RESIDUAL OUTPUT</t>
  </si>
  <si>
    <t>Thousand Gallons Per Cap/Lag 1</t>
  </si>
  <si>
    <t>Log Rev Per Gal/Lag 1</t>
  </si>
  <si>
    <t>Intercept</t>
  </si>
  <si>
    <t>Upper 95.0%</t>
  </si>
  <si>
    <t>Lower 95.0%</t>
  </si>
  <si>
    <t>Upper 95%</t>
  </si>
  <si>
    <t>Lower 95%</t>
  </si>
  <si>
    <t>P-value</t>
  </si>
  <si>
    <t>t Stat</t>
  </si>
  <si>
    <t>Standard Error</t>
  </si>
  <si>
    <t>Coefficients</t>
  </si>
  <si>
    <t>Total</t>
  </si>
  <si>
    <t>Residual</t>
  </si>
  <si>
    <t>Regression</t>
  </si>
  <si>
    <t>Significance F</t>
  </si>
  <si>
    <t>F</t>
  </si>
  <si>
    <t>MS</t>
  </si>
  <si>
    <t>SS</t>
  </si>
  <si>
    <t>df</t>
  </si>
  <si>
    <t>ANOVA</t>
  </si>
  <si>
    <t>Observations</t>
  </si>
  <si>
    <t>Adjusted R Square</t>
  </si>
  <si>
    <t>R Square</t>
  </si>
  <si>
    <t>Multiple R</t>
  </si>
  <si>
    <t>Dif Tho Gal/Cap Lag1</t>
  </si>
  <si>
    <t>Regression Statistics</t>
  </si>
  <si>
    <t>Regression Model</t>
  </si>
  <si>
    <t>Dif Rev per Tho Gal</t>
  </si>
  <si>
    <t>SUMMARY OUTPUT</t>
  </si>
  <si>
    <t>Predicted (Change to Next year)</t>
  </si>
  <si>
    <t>Differenced Revenue</t>
  </si>
  <si>
    <t>Differenced Thousand Gallons Per Cap/Lag 1</t>
  </si>
  <si>
    <t>Differenced Rev Per 1000 Gal/Lag 1</t>
  </si>
  <si>
    <t>Antilog</t>
  </si>
  <si>
    <t>Predicted</t>
  </si>
  <si>
    <t>Log Revenue</t>
  </si>
  <si>
    <t>Water &amp; Sewer Revenue</t>
  </si>
  <si>
    <t>Population</t>
  </si>
  <si>
    <t>Gallons Per Person</t>
  </si>
  <si>
    <t>Revenue Per Gallon</t>
  </si>
  <si>
    <t>Cost Per Aggregate  GPPD</t>
  </si>
  <si>
    <t>Cost Per Water  GPPD</t>
  </si>
  <si>
    <t>W&amp;S Per Person</t>
  </si>
  <si>
    <t>Water and Sewer</t>
  </si>
  <si>
    <t>Total GGPD</t>
  </si>
  <si>
    <t>WasteWater GPPD</t>
  </si>
  <si>
    <t>WasteWater MGPD/Capacity</t>
  </si>
  <si>
    <t>Gallons Per Person Day</t>
  </si>
  <si>
    <t>Corrected Population</t>
  </si>
  <si>
    <t>Implied Population</t>
  </si>
  <si>
    <t>(Gallons per person per day)*</t>
  </si>
  <si>
    <t>(Million gallons per day)</t>
  </si>
  <si>
    <t>Decomposed Water and Sewer Revenue</t>
  </si>
  <si>
    <t>From multiple CAFRS, latest available data</t>
  </si>
  <si>
    <t>Per Capita</t>
  </si>
  <si>
    <t>NYC Consumption</t>
  </si>
  <si>
    <t>Consumption</t>
  </si>
  <si>
    <t>Demographic, Financial &amp; Other Trends</t>
  </si>
  <si>
    <t>Comptroller’s Report for Fiscal 2003 Part III—Statistical Information</t>
  </si>
  <si>
    <t>http://www.nyc.gov/html/dep/html/drinking_water/droughthist.shtml</t>
  </si>
  <si>
    <t>Adjust and Decompose Personal Income Tax (PIT)</t>
  </si>
  <si>
    <t>Lag2</t>
  </si>
  <si>
    <t>CPI</t>
  </si>
  <si>
    <t>Adj. Fact</t>
  </si>
  <si>
    <t>Personal Income Tax Millions</t>
  </si>
  <si>
    <t>Adjusted PIT Millions</t>
  </si>
  <si>
    <t>PIT Per Person</t>
  </si>
  <si>
    <t>Level</t>
  </si>
  <si>
    <t>Growth</t>
  </si>
  <si>
    <t>Per Capita Income</t>
  </si>
  <si>
    <t>Real PCI</t>
  </si>
  <si>
    <t>Real PIT $M</t>
  </si>
  <si>
    <t>antilog validation</t>
  </si>
  <si>
    <t>Distress</t>
  </si>
  <si>
    <t>B0'&gt;B0</t>
  </si>
  <si>
    <t>Log Real PCI Adjusted</t>
  </si>
  <si>
    <t>Log Population Adjusted</t>
  </si>
  <si>
    <t>DW</t>
  </si>
  <si>
    <t>Log Real PCI</t>
  </si>
  <si>
    <t>Log Population</t>
  </si>
  <si>
    <t xml:space="preserve"> Durbin Watson</t>
  </si>
  <si>
    <t>ρ</t>
  </si>
  <si>
    <t>Predicted Log Real PIT $M Adj.</t>
  </si>
  <si>
    <t>Use the drop down menu above to find available figures in 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</si>
</sst>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00000"/>
    <numFmt numFmtId="166" formatCode="0.00000"/>
    <numFmt numFmtId="167" formatCode="0.000"/>
    <numFmt numFmtId="168" formatCode="0.0000"/>
    <numFmt numFmtId="169" formatCode="0.0"/>
    <numFmt numFmtId="170" formatCode="_(* #,##0_);_(* \(#,##0\);_(* &quot;-&quot;????_);_(@_)"/>
    <numFmt numFmtId="171" formatCode="_(* #,##0.0_);_(* \(#,##0.0\);_(* &quot;-&quot;??_);_(@_)"/>
    <numFmt numFmtId="172" formatCode="mm/dd/yyyy"/>
    <numFmt numFmtId="173" formatCode="0.0%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164" fontId="0" fillId="0" borderId="0" xfId="1" applyNumberFormat="1" applyFont="1"/>
    <xf numFmtId="164" fontId="1" fillId="0" borderId="0" xfId="1" applyNumberFormat="1" applyFont="1"/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0" fillId="2" borderId="6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164" fontId="0" fillId="0" borderId="0" xfId="1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3" borderId="0" xfId="0" applyFont="1" applyFill="1"/>
    <xf numFmtId="43" fontId="0" fillId="0" borderId="0" xfId="0" applyNumberFormat="1"/>
    <xf numFmtId="164" fontId="0" fillId="0" borderId="0" xfId="0" applyNumberFormat="1"/>
    <xf numFmtId="164" fontId="0" fillId="0" borderId="7" xfId="1" applyNumberFormat="1" applyFont="1" applyBorder="1"/>
    <xf numFmtId="164" fontId="0" fillId="0" borderId="8" xfId="0" applyNumberFormat="1" applyBorder="1"/>
    <xf numFmtId="164" fontId="0" fillId="0" borderId="9" xfId="1" applyNumberFormat="1" applyFont="1" applyBorder="1"/>
    <xf numFmtId="164" fontId="0" fillId="0" borderId="10" xfId="0" applyNumberFormat="1" applyBorder="1"/>
    <xf numFmtId="164" fontId="0" fillId="0" borderId="11" xfId="1" applyNumberFormat="1" applyFont="1" applyBorder="1"/>
    <xf numFmtId="164" fontId="0" fillId="0" borderId="12" xfId="0" applyNumberFormat="1" applyBorder="1"/>
    <xf numFmtId="1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3" xfId="0" applyFont="1" applyBorder="1"/>
    <xf numFmtId="0" fontId="0" fillId="0" borderId="9" xfId="0" applyBorder="1"/>
    <xf numFmtId="0" fontId="0" fillId="0" borderId="12" xfId="0" applyBorder="1"/>
    <xf numFmtId="0" fontId="0" fillId="0" borderId="11" xfId="0" applyBorder="1"/>
    <xf numFmtId="2" fontId="0" fillId="0" borderId="12" xfId="0" applyNumberFormat="1" applyBorder="1"/>
    <xf numFmtId="43" fontId="0" fillId="0" borderId="8" xfId="0" applyNumberFormat="1" applyBorder="1"/>
    <xf numFmtId="0" fontId="0" fillId="0" borderId="7" xfId="0" applyBorder="1"/>
    <xf numFmtId="0" fontId="0" fillId="0" borderId="10" xfId="0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15" xfId="0" applyBorder="1"/>
    <xf numFmtId="0" fontId="1" fillId="0" borderId="0" xfId="4"/>
    <xf numFmtId="0" fontId="1" fillId="0" borderId="7" xfId="4" applyBorder="1"/>
    <xf numFmtId="0" fontId="1" fillId="0" borderId="15" xfId="4" applyBorder="1"/>
    <xf numFmtId="0" fontId="1" fillId="0" borderId="8" xfId="4" applyBorder="1"/>
    <xf numFmtId="0" fontId="1" fillId="0" borderId="11" xfId="4" applyBorder="1"/>
    <xf numFmtId="0" fontId="1" fillId="0" borderId="0" xfId="4" applyBorder="1"/>
    <xf numFmtId="0" fontId="1" fillId="0" borderId="12" xfId="4" applyBorder="1"/>
    <xf numFmtId="0" fontId="1" fillId="0" borderId="9" xfId="4" applyBorder="1"/>
    <xf numFmtId="0" fontId="1" fillId="0" borderId="14" xfId="4" applyBorder="1"/>
    <xf numFmtId="0" fontId="1" fillId="0" borderId="10" xfId="4" applyBorder="1"/>
    <xf numFmtId="164" fontId="0" fillId="0" borderId="0" xfId="2" applyNumberFormat="1" applyFont="1"/>
    <xf numFmtId="164" fontId="0" fillId="0" borderId="7" xfId="2" applyNumberFormat="1" applyFont="1" applyBorder="1"/>
    <xf numFmtId="165" fontId="1" fillId="0" borderId="7" xfId="4" applyNumberFormat="1" applyBorder="1"/>
    <xf numFmtId="166" fontId="1" fillId="0" borderId="8" xfId="4" applyNumberFormat="1" applyBorder="1"/>
    <xf numFmtId="0" fontId="1" fillId="0" borderId="15" xfId="4" applyNumberFormat="1" applyFill="1" applyBorder="1" applyAlignment="1"/>
    <xf numFmtId="0" fontId="1" fillId="0" borderId="8" xfId="4" applyFill="1" applyBorder="1" applyAlignment="1"/>
    <xf numFmtId="164" fontId="0" fillId="0" borderId="11" xfId="2" applyNumberFormat="1" applyFont="1" applyBorder="1"/>
    <xf numFmtId="165" fontId="1" fillId="0" borderId="11" xfId="4" applyNumberFormat="1" applyBorder="1"/>
    <xf numFmtId="166" fontId="1" fillId="0" borderId="12" xfId="4" applyNumberFormat="1" applyBorder="1"/>
    <xf numFmtId="0" fontId="1" fillId="0" borderId="0" xfId="4" applyNumberFormat="1" applyFill="1" applyBorder="1" applyAlignment="1"/>
    <xf numFmtId="0" fontId="1" fillId="0" borderId="12" xfId="4" applyFill="1" applyBorder="1" applyAlignment="1"/>
    <xf numFmtId="165" fontId="1" fillId="0" borderId="9" xfId="4" applyNumberFormat="1" applyBorder="1"/>
    <xf numFmtId="0" fontId="1" fillId="0" borderId="0" xfId="4" applyAlignment="1">
      <alignment wrapText="1"/>
    </xf>
    <xf numFmtId="0" fontId="2" fillId="0" borderId="0" xfId="4" applyFont="1" applyBorder="1" applyAlignment="1">
      <alignment horizontal="center" wrapText="1"/>
    </xf>
    <xf numFmtId="0" fontId="2" fillId="0" borderId="13" xfId="4" applyFont="1" applyBorder="1" applyAlignment="1">
      <alignment horizontal="center" wrapText="1"/>
    </xf>
    <xf numFmtId="0" fontId="1" fillId="0" borderId="0" xfId="4" applyBorder="1" applyAlignment="1">
      <alignment wrapText="1"/>
    </xf>
    <xf numFmtId="166" fontId="1" fillId="0" borderId="13" xfId="4" applyNumberFormat="1" applyBorder="1" applyAlignment="1">
      <alignment wrapText="1"/>
    </xf>
    <xf numFmtId="0" fontId="3" fillId="0" borderId="16" xfId="4" applyFont="1" applyFill="1" applyBorder="1" applyAlignment="1">
      <alignment horizontal="center"/>
    </xf>
    <xf numFmtId="0" fontId="3" fillId="0" borderId="16" xfId="4" applyFont="1" applyFill="1" applyBorder="1" applyAlignment="1">
      <alignment horizontal="center" wrapText="1"/>
    </xf>
    <xf numFmtId="0" fontId="3" fillId="0" borderId="17" xfId="4" applyFont="1" applyFill="1" applyBorder="1" applyAlignment="1">
      <alignment horizontal="center"/>
    </xf>
    <xf numFmtId="166" fontId="1" fillId="0" borderId="0" xfId="4" applyNumberFormat="1" applyBorder="1"/>
    <xf numFmtId="167" fontId="1" fillId="0" borderId="18" xfId="4" applyNumberFormat="1" applyBorder="1"/>
    <xf numFmtId="3" fontId="1" fillId="0" borderId="0" xfId="4" applyNumberFormat="1"/>
    <xf numFmtId="167" fontId="1" fillId="0" borderId="7" xfId="4" applyNumberFormat="1" applyFill="1" applyBorder="1" applyAlignment="1"/>
    <xf numFmtId="167" fontId="1" fillId="0" borderId="15" xfId="4" applyNumberFormat="1" applyFill="1" applyBorder="1" applyAlignment="1"/>
    <xf numFmtId="168" fontId="1" fillId="0" borderId="15" xfId="4" applyNumberFormat="1" applyFill="1" applyBorder="1" applyAlignment="1"/>
    <xf numFmtId="2" fontId="1" fillId="0" borderId="15" xfId="4" applyNumberFormat="1" applyFill="1" applyBorder="1" applyAlignment="1"/>
    <xf numFmtId="167" fontId="1" fillId="0" borderId="11" xfId="4" applyNumberFormat="1" applyFill="1" applyBorder="1" applyAlignment="1"/>
    <xf numFmtId="167" fontId="1" fillId="0" borderId="0" xfId="4" applyNumberFormat="1" applyFill="1" applyBorder="1" applyAlignment="1"/>
    <xf numFmtId="168" fontId="1" fillId="0" borderId="0" xfId="4" applyNumberFormat="1" applyFill="1" applyBorder="1" applyAlignment="1"/>
    <xf numFmtId="2" fontId="1" fillId="0" borderId="0" xfId="4" applyNumberFormat="1" applyFill="1" applyBorder="1" applyAlignment="1"/>
    <xf numFmtId="0" fontId="3" fillId="0" borderId="21" xfId="4" applyFont="1" applyFill="1" applyBorder="1" applyAlignment="1">
      <alignment horizontal="center" wrapText="1"/>
    </xf>
    <xf numFmtId="0" fontId="3" fillId="0" borderId="17" xfId="4" applyFont="1" applyFill="1" applyBorder="1" applyAlignment="1">
      <alignment horizontal="center" wrapText="1"/>
    </xf>
    <xf numFmtId="3" fontId="1" fillId="0" borderId="0" xfId="4" applyNumberFormat="1" applyAlignment="1">
      <alignment wrapText="1"/>
    </xf>
    <xf numFmtId="0" fontId="1" fillId="0" borderId="15" xfId="4" applyFill="1" applyBorder="1" applyAlignment="1"/>
    <xf numFmtId="0" fontId="1" fillId="0" borderId="0" xfId="4" applyFill="1" applyBorder="1" applyAlignment="1"/>
    <xf numFmtId="169" fontId="1" fillId="0" borderId="0" xfId="4" applyNumberFormat="1" applyFill="1" applyBorder="1" applyAlignment="1"/>
    <xf numFmtId="9" fontId="1" fillId="0" borderId="0" xfId="4" applyNumberFormat="1"/>
    <xf numFmtId="170" fontId="1" fillId="0" borderId="0" xfId="4" applyNumberFormat="1"/>
    <xf numFmtId="168" fontId="1" fillId="0" borderId="0" xfId="4" applyNumberFormat="1"/>
    <xf numFmtId="43" fontId="1" fillId="0" borderId="0" xfId="4" applyNumberFormat="1"/>
    <xf numFmtId="164" fontId="4" fillId="0" borderId="0" xfId="2" applyNumberFormat="1" applyFont="1"/>
    <xf numFmtId="2" fontId="1" fillId="0" borderId="0" xfId="4" applyNumberFormat="1"/>
    <xf numFmtId="1" fontId="1" fillId="0" borderId="15" xfId="4" applyNumberFormat="1" applyBorder="1"/>
    <xf numFmtId="0" fontId="1" fillId="0" borderId="15" xfId="4" applyFont="1" applyBorder="1" applyAlignment="1">
      <alignment horizontal="right"/>
    </xf>
    <xf numFmtId="0" fontId="3" fillId="0" borderId="16" xfId="4" applyFont="1" applyFill="1" applyBorder="1" applyAlignment="1">
      <alignment horizontal="centerContinuous"/>
    </xf>
    <xf numFmtId="0" fontId="3" fillId="0" borderId="17" xfId="4" applyFont="1" applyFill="1" applyBorder="1" applyAlignment="1">
      <alignment horizontal="centerContinuous"/>
    </xf>
    <xf numFmtId="0" fontId="2" fillId="0" borderId="0" xfId="4" applyFont="1" applyAlignment="1">
      <alignment horizontal="right"/>
    </xf>
    <xf numFmtId="1" fontId="1" fillId="0" borderId="0" xfId="4" applyNumberFormat="1" applyBorder="1"/>
    <xf numFmtId="0" fontId="1" fillId="0" borderId="0" xfId="4" applyFont="1" applyBorder="1" applyAlignment="1">
      <alignment horizontal="right"/>
    </xf>
    <xf numFmtId="9" fontId="0" fillId="0" borderId="0" xfId="3" applyFont="1"/>
    <xf numFmtId="167" fontId="1" fillId="0" borderId="0" xfId="4" applyNumberFormat="1"/>
    <xf numFmtId="0" fontId="2" fillId="0" borderId="0" xfId="4" applyFont="1"/>
    <xf numFmtId="164" fontId="1" fillId="0" borderId="0" xfId="4" applyNumberFormat="1"/>
    <xf numFmtId="0" fontId="1" fillId="0" borderId="0" xfId="4" applyAlignment="1">
      <alignment horizontal="center" vertical="center" wrapText="1"/>
    </xf>
    <xf numFmtId="0" fontId="2" fillId="0" borderId="18" xfId="4" applyFont="1" applyBorder="1" applyAlignment="1">
      <alignment horizontal="center"/>
    </xf>
    <xf numFmtId="167" fontId="1" fillId="0" borderId="15" xfId="4" applyNumberFormat="1" applyBorder="1"/>
    <xf numFmtId="0" fontId="2" fillId="0" borderId="8" xfId="4" applyFont="1" applyBorder="1"/>
    <xf numFmtId="167" fontId="1" fillId="0" borderId="7" xfId="4" applyNumberFormat="1" applyBorder="1"/>
    <xf numFmtId="43" fontId="1" fillId="0" borderId="15" xfId="4" applyNumberFormat="1" applyBorder="1"/>
    <xf numFmtId="164" fontId="0" fillId="0" borderId="0" xfId="2" applyNumberFormat="1" applyFont="1" applyBorder="1"/>
    <xf numFmtId="3" fontId="1" fillId="0" borderId="0" xfId="4" applyNumberFormat="1" applyBorder="1"/>
    <xf numFmtId="167" fontId="1" fillId="0" borderId="0" xfId="4" applyNumberFormat="1" applyBorder="1"/>
    <xf numFmtId="0" fontId="2" fillId="0" borderId="12" xfId="4" applyFont="1" applyBorder="1"/>
    <xf numFmtId="167" fontId="1" fillId="0" borderId="11" xfId="4" applyNumberFormat="1" applyBorder="1"/>
    <xf numFmtId="43" fontId="1" fillId="0" borderId="0" xfId="4" applyNumberFormat="1" applyBorder="1"/>
    <xf numFmtId="0" fontId="2" fillId="0" borderId="22" xfId="4" applyFont="1" applyBorder="1" applyAlignment="1">
      <alignment horizontal="center"/>
    </xf>
    <xf numFmtId="171" fontId="0" fillId="0" borderId="11" xfId="2" applyNumberFormat="1" applyFont="1" applyBorder="1"/>
    <xf numFmtId="164" fontId="1" fillId="0" borderId="0" xfId="4" applyNumberFormat="1" applyBorder="1"/>
    <xf numFmtId="41" fontId="4" fillId="0" borderId="0" xfId="4" applyNumberFormat="1" applyFont="1"/>
    <xf numFmtId="171" fontId="0" fillId="0" borderId="0" xfId="2" applyNumberFormat="1" applyFont="1"/>
    <xf numFmtId="165" fontId="1" fillId="0" borderId="0" xfId="4" applyNumberFormat="1"/>
    <xf numFmtId="3" fontId="1" fillId="3" borderId="0" xfId="4" applyNumberFormat="1" applyFill="1"/>
    <xf numFmtId="0" fontId="1" fillId="0" borderId="0" xfId="4" applyAlignment="1">
      <alignment horizontal="center"/>
    </xf>
    <xf numFmtId="0" fontId="2" fillId="0" borderId="9" xfId="4" applyFont="1" applyBorder="1" applyAlignment="1">
      <alignment horizontal="center" wrapText="1"/>
    </xf>
    <xf numFmtId="0" fontId="2" fillId="0" borderId="14" xfId="4" applyFont="1" applyBorder="1" applyAlignment="1">
      <alignment horizontal="center" wrapText="1"/>
    </xf>
    <xf numFmtId="0" fontId="2" fillId="0" borderId="14" xfId="4" applyFont="1" applyBorder="1" applyAlignment="1">
      <alignment horizontal="center"/>
    </xf>
    <xf numFmtId="0" fontId="2" fillId="0" borderId="10" xfId="4" applyFont="1" applyBorder="1" applyAlignment="1">
      <alignment horizontal="center"/>
    </xf>
    <xf numFmtId="0" fontId="2" fillId="0" borderId="0" xfId="4" applyFont="1" applyAlignment="1">
      <alignment horizontal="center" wrapText="1"/>
    </xf>
    <xf numFmtId="0" fontId="2" fillId="0" borderId="19" xfId="4" applyFont="1" applyBorder="1" applyAlignment="1">
      <alignment horizontal="center" wrapText="1"/>
    </xf>
    <xf numFmtId="0" fontId="2" fillId="0" borderId="23" xfId="4" applyFont="1" applyBorder="1" applyAlignment="1">
      <alignment horizontal="center" wrapText="1"/>
    </xf>
    <xf numFmtId="0" fontId="2" fillId="0" borderId="13" xfId="4" applyFont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0" xfId="4" applyFont="1" applyAlignment="1">
      <alignment horizontal="center" vertical="center" wrapText="1"/>
    </xf>
    <xf numFmtId="0" fontId="1" fillId="4" borderId="0" xfId="4" applyFill="1" applyBorder="1"/>
    <xf numFmtId="0" fontId="1" fillId="4" borderId="13" xfId="4" applyFill="1" applyBorder="1"/>
    <xf numFmtId="0" fontId="1" fillId="0" borderId="0" xfId="4" applyFont="1"/>
    <xf numFmtId="164" fontId="1" fillId="4" borderId="13" xfId="2" applyNumberFormat="1" applyFont="1" applyFill="1" applyBorder="1"/>
    <xf numFmtId="0" fontId="2" fillId="0" borderId="0" xfId="4" applyFont="1" applyAlignment="1">
      <alignment vertical="center" wrapText="1"/>
    </xf>
    <xf numFmtId="0" fontId="5" fillId="0" borderId="0" xfId="4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/>
    <xf numFmtId="170" fontId="0" fillId="0" borderId="0" xfId="0" applyNumberFormat="1"/>
    <xf numFmtId="9" fontId="0" fillId="0" borderId="0" xfId="5" applyFont="1"/>
    <xf numFmtId="43" fontId="0" fillId="0" borderId="0" xfId="1" applyNumberFormat="1" applyFont="1"/>
    <xf numFmtId="3" fontId="0" fillId="0" borderId="0" xfId="0" applyNumberFormat="1"/>
    <xf numFmtId="2" fontId="0" fillId="0" borderId="0" xfId="0" applyNumberFormat="1"/>
    <xf numFmtId="172" fontId="0" fillId="0" borderId="0" xfId="0" applyNumberFormat="1"/>
    <xf numFmtId="169" fontId="0" fillId="0" borderId="0" xfId="0" applyNumberFormat="1"/>
    <xf numFmtId="43" fontId="0" fillId="0" borderId="0" xfId="1" applyFont="1"/>
    <xf numFmtId="0" fontId="2" fillId="0" borderId="12" xfId="0" applyFont="1" applyBorder="1"/>
    <xf numFmtId="168" fontId="0" fillId="0" borderId="0" xfId="0" applyNumberFormat="1" applyBorder="1"/>
    <xf numFmtId="171" fontId="0" fillId="0" borderId="11" xfId="1" applyNumberFormat="1" applyFont="1" applyBorder="1"/>
    <xf numFmtId="173" fontId="0" fillId="0" borderId="0" xfId="5" applyNumberFormat="1" applyFont="1"/>
    <xf numFmtId="0" fontId="0" fillId="0" borderId="12" xfId="0" applyFill="1" applyBorder="1" applyAlignment="1"/>
    <xf numFmtId="167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8" xfId="0" applyFill="1" applyBorder="1" applyAlignment="1"/>
    <xf numFmtId="167" fontId="0" fillId="0" borderId="15" xfId="0" applyNumberFormat="1" applyFill="1" applyBorder="1" applyAlignment="1"/>
    <xf numFmtId="0" fontId="0" fillId="0" borderId="15" xfId="0" applyFill="1" applyBorder="1" applyAlignment="1"/>
    <xf numFmtId="0" fontId="3" fillId="0" borderId="16" xfId="0" applyFont="1" applyFill="1" applyBorder="1" applyAlignment="1">
      <alignment horizontal="centerContinuous"/>
    </xf>
    <xf numFmtId="167" fontId="2" fillId="0" borderId="13" xfId="0" applyNumberFormat="1" applyFont="1" applyBorder="1"/>
    <xf numFmtId="0" fontId="3" fillId="0" borderId="17" xfId="0" applyFont="1" applyFill="1" applyBorder="1" applyAlignment="1">
      <alignment horizontal="centerContinuous"/>
    </xf>
    <xf numFmtId="168" fontId="0" fillId="0" borderId="0" xfId="0" applyNumberFormat="1" applyFill="1" applyBorder="1" applyAlignment="1"/>
    <xf numFmtId="0" fontId="0" fillId="0" borderId="1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/>
    </xf>
    <xf numFmtId="166" fontId="0" fillId="0" borderId="0" xfId="0" applyNumberFormat="1" applyFill="1" applyBorder="1" applyAlignment="1"/>
    <xf numFmtId="1" fontId="0" fillId="0" borderId="0" xfId="0" applyNumberFormat="1" applyFill="1" applyBorder="1" applyAlignment="1"/>
    <xf numFmtId="0" fontId="3" fillId="0" borderId="21" xfId="0" applyFont="1" applyFill="1" applyBorder="1" applyAlignment="1">
      <alignment horizontal="center"/>
    </xf>
    <xf numFmtId="166" fontId="0" fillId="0" borderId="15" xfId="0" applyNumberFormat="1" applyFill="1" applyBorder="1" applyAlignment="1"/>
    <xf numFmtId="0" fontId="0" fillId="0" borderId="11" xfId="0" applyFill="1" applyBorder="1" applyAlignment="1"/>
    <xf numFmtId="0" fontId="0" fillId="0" borderId="7" xfId="0" applyFill="1" applyBorder="1" applyAlignment="1"/>
    <xf numFmtId="0" fontId="6" fillId="0" borderId="13" xfId="0" applyFont="1" applyBorder="1" applyAlignment="1">
      <alignment horizontal="center" vertical="center"/>
    </xf>
    <xf numFmtId="167" fontId="0" fillId="0" borderId="18" xfId="0" applyNumberFormat="1" applyBorder="1"/>
    <xf numFmtId="166" fontId="0" fillId="0" borderId="0" xfId="0" applyNumberFormat="1" applyBorder="1"/>
    <xf numFmtId="0" fontId="0" fillId="0" borderId="13" xfId="0" applyBorder="1"/>
    <xf numFmtId="166" fontId="0" fillId="0" borderId="11" xfId="0" applyNumberFormat="1" applyBorder="1"/>
    <xf numFmtId="166" fontId="0" fillId="0" borderId="13" xfId="0" applyNumberFormat="1" applyBorder="1" applyAlignment="1">
      <alignment wrapText="1"/>
    </xf>
    <xf numFmtId="165" fontId="0" fillId="0" borderId="9" xfId="0" applyNumberFormat="1" applyBorder="1"/>
    <xf numFmtId="171" fontId="0" fillId="0" borderId="0" xfId="1" applyNumberFormat="1" applyFont="1"/>
    <xf numFmtId="166" fontId="0" fillId="0" borderId="12" xfId="0" applyNumberFormat="1" applyBorder="1"/>
    <xf numFmtId="165" fontId="0" fillId="0" borderId="11" xfId="0" applyNumberFormat="1" applyBorder="1"/>
    <xf numFmtId="168" fontId="0" fillId="0" borderId="11" xfId="0" applyNumberFormat="1" applyBorder="1"/>
    <xf numFmtId="168" fontId="0" fillId="0" borderId="0" xfId="0" applyNumberFormat="1"/>
    <xf numFmtId="166" fontId="0" fillId="0" borderId="0" xfId="0" applyNumberFormat="1"/>
    <xf numFmtId="166" fontId="0" fillId="0" borderId="8" xfId="0" applyNumberFormat="1" applyBorder="1"/>
    <xf numFmtId="165" fontId="0" fillId="0" borderId="7" xfId="0" applyNumberFormat="1" applyBorder="1"/>
    <xf numFmtId="168" fontId="0" fillId="0" borderId="7" xfId="0" applyNumberFormat="1" applyBorder="1"/>
    <xf numFmtId="0" fontId="2" fillId="0" borderId="12" xfId="0" applyFont="1" applyBorder="1" applyAlignment="1">
      <alignment horizontal="center"/>
    </xf>
    <xf numFmtId="170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170" fontId="0" fillId="0" borderId="0" xfId="0" applyNumberFormat="1" applyBorder="1"/>
    <xf numFmtId="9" fontId="0" fillId="0" borderId="0" xfId="5" applyFont="1" applyBorder="1"/>
    <xf numFmtId="43" fontId="0" fillId="0" borderId="0" xfId="1" applyNumberFormat="1" applyFont="1" applyBorder="1"/>
    <xf numFmtId="43" fontId="0" fillId="0" borderId="0" xfId="0" applyNumberFormat="1" applyBorder="1"/>
    <xf numFmtId="3" fontId="0" fillId="0" borderId="0" xfId="0" applyNumberFormat="1" applyBorder="1"/>
    <xf numFmtId="2" fontId="0" fillId="0" borderId="11" xfId="0" applyNumberFormat="1" applyBorder="1"/>
    <xf numFmtId="0" fontId="2" fillId="0" borderId="8" xfId="0" applyFont="1" applyBorder="1"/>
    <xf numFmtId="170" fontId="0" fillId="0" borderId="15" xfId="0" applyNumberFormat="1" applyBorder="1"/>
    <xf numFmtId="9" fontId="0" fillId="0" borderId="15" xfId="5" applyFont="1" applyBorder="1"/>
    <xf numFmtId="43" fontId="0" fillId="0" borderId="15" xfId="1" applyNumberFormat="1" applyFont="1" applyBorder="1"/>
    <xf numFmtId="43" fontId="0" fillId="0" borderId="15" xfId="0" applyNumberFormat="1" applyBorder="1"/>
    <xf numFmtId="3" fontId="0" fillId="0" borderId="15" xfId="0" applyNumberFormat="1" applyBorder="1"/>
    <xf numFmtId="2" fontId="0" fillId="0" borderId="7" xfId="0" applyNumberFormat="1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0" xfId="0" applyNumberFormat="1" applyBorder="1"/>
    <xf numFmtId="173" fontId="0" fillId="0" borderId="11" xfId="5" applyNumberFormat="1" applyFont="1" applyBorder="1"/>
    <xf numFmtId="2" fontId="0" fillId="0" borderId="8" xfId="0" applyNumberFormat="1" applyBorder="1"/>
    <xf numFmtId="2" fontId="0" fillId="0" borderId="15" xfId="0" applyNumberFormat="1" applyBorder="1"/>
    <xf numFmtId="173" fontId="0" fillId="0" borderId="7" xfId="5" applyNumberFormat="1" applyFont="1" applyBorder="1"/>
    <xf numFmtId="0" fontId="0" fillId="0" borderId="0" xfId="0" applyBorder="1" applyAlignment="1">
      <alignment horizontal="center" wrapText="1"/>
    </xf>
    <xf numFmtId="164" fontId="0" fillId="0" borderId="0" xfId="0" applyNumberFormat="1" applyBorder="1"/>
    <xf numFmtId="164" fontId="0" fillId="0" borderId="11" xfId="0" applyNumberFormat="1" applyBorder="1"/>
    <xf numFmtId="164" fontId="0" fillId="0" borderId="15" xfId="0" applyNumberFormat="1" applyBorder="1"/>
    <xf numFmtId="164" fontId="0" fillId="0" borderId="7" xfId="0" applyNumberFormat="1" applyBorder="1"/>
    <xf numFmtId="0" fontId="2" fillId="4" borderId="0" xfId="4" applyFont="1" applyFill="1" applyBorder="1" applyAlignment="1">
      <alignment horizontal="center"/>
    </xf>
    <xf numFmtId="0" fontId="1" fillId="0" borderId="0" xfId="4" applyFont="1" applyBorder="1" applyAlignment="1">
      <alignment horizontal="center"/>
    </xf>
    <xf numFmtId="0" fontId="1" fillId="0" borderId="0" xfId="4" applyBorder="1" applyAlignment="1">
      <alignment horizontal="center"/>
    </xf>
    <xf numFmtId="0" fontId="1" fillId="0" borderId="20" xfId="4" applyFont="1" applyBorder="1" applyAlignment="1">
      <alignment horizontal="center"/>
    </xf>
    <xf numFmtId="0" fontId="1" fillId="0" borderId="19" xfId="4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9" xfId="0" applyFont="1" applyBorder="1" applyAlignment="1">
      <alignment horizontal="center"/>
    </xf>
  </cellXfs>
  <cellStyles count="6">
    <cellStyle name="Comma" xfId="1" builtinId="3"/>
    <cellStyle name="Comma 2" xfId="2"/>
    <cellStyle name="Normal" xfId="0" builtinId="0"/>
    <cellStyle name="Normal 2" xfId="4"/>
    <cellStyle name="Percent" xfId="5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worksheet" Target="worksheets/sheet7.xml"/><Relationship Id="rId18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calcChain" Target="calcChain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5.xml"/><Relationship Id="rId5" Type="http://schemas.openxmlformats.org/officeDocument/2006/relationships/worksheet" Target="worksheets/sheet2.xml"/><Relationship Id="rId15" Type="http://schemas.openxmlformats.org/officeDocument/2006/relationships/chartsheet" Target="chartsheets/sheet7.xml"/><Relationship Id="rId10" Type="http://schemas.openxmlformats.org/officeDocument/2006/relationships/chartsheet" Target="chartsheets/sheet4.xml"/><Relationship Id="rId19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Graphing!$F$2</c:f>
              <c:strCache>
                <c:ptCount val="1"/>
                <c:pt idx="0">
                  <c:v>General Government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Graphing!$E$3:$E$35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Graphing!$F$3:$F$35</c:f>
              <c:numCache>
                <c:formatCode>_(* #,##0_);_(* \(#,##0\);_(* "-"??_);_(@_)</c:formatCode>
                <c:ptCount val="33"/>
                <c:pt idx="0">
                  <c:v>245.25833499999999</c:v>
                </c:pt>
                <c:pt idx="1">
                  <c:v>245.455185</c:v>
                </c:pt>
                <c:pt idx="2">
                  <c:v>251.97509099999999</c:v>
                </c:pt>
                <c:pt idx="3">
                  <c:v>176.49361500000001</c:v>
                </c:pt>
                <c:pt idx="4">
                  <c:v>192.64390499999999</c:v>
                </c:pt>
                <c:pt idx="5">
                  <c:v>205.966632</c:v>
                </c:pt>
                <c:pt idx="6">
                  <c:v>222.153122</c:v>
                </c:pt>
                <c:pt idx="7">
                  <c:v>241.41172399999999</c:v>
                </c:pt>
                <c:pt idx="8">
                  <c:v>253.065923</c:v>
                </c:pt>
                <c:pt idx="9">
                  <c:v>285.80559199999999</c:v>
                </c:pt>
                <c:pt idx="10">
                  <c:v>298.44491599999998</c:v>
                </c:pt>
                <c:pt idx="11">
                  <c:v>336.58532300000002</c:v>
                </c:pt>
                <c:pt idx="12">
                  <c:v>368.72906999999998</c:v>
                </c:pt>
                <c:pt idx="13">
                  <c:v>396.878018</c:v>
                </c:pt>
                <c:pt idx="14">
                  <c:v>388.86926</c:v>
                </c:pt>
                <c:pt idx="15">
                  <c:v>396.078734</c:v>
                </c:pt>
                <c:pt idx="16">
                  <c:v>415.39713999999998</c:v>
                </c:pt>
                <c:pt idx="17">
                  <c:v>428.22153900000001</c:v>
                </c:pt>
                <c:pt idx="18">
                  <c:v>434.71341100000001</c:v>
                </c:pt>
                <c:pt idx="19">
                  <c:v>439.75703299999998</c:v>
                </c:pt>
                <c:pt idx="20">
                  <c:v>438.99600099999998</c:v>
                </c:pt>
                <c:pt idx="21">
                  <c:v>439.18664100000001</c:v>
                </c:pt>
                <c:pt idx="22">
                  <c:v>461.18186700000001</c:v>
                </c:pt>
                <c:pt idx="23">
                  <c:v>500.60200500000002</c:v>
                </c:pt>
                <c:pt idx="24">
                  <c:v>592.26868999999999</c:v>
                </c:pt>
                <c:pt idx="25">
                  <c:v>613.90511900000001</c:v>
                </c:pt>
                <c:pt idx="26">
                  <c:v>611.315742</c:v>
                </c:pt>
                <c:pt idx="27">
                  <c:v>613.16170699999998</c:v>
                </c:pt>
                <c:pt idx="28">
                  <c:v>638.21356300000002</c:v>
                </c:pt>
                <c:pt idx="29">
                  <c:v>687.05967499999997</c:v>
                </c:pt>
                <c:pt idx="30">
                  <c:v>745.94907000000001</c:v>
                </c:pt>
                <c:pt idx="31">
                  <c:v>776.04077900000004</c:v>
                </c:pt>
                <c:pt idx="32">
                  <c:v>850.00533099999996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726368"/>
        <c:axId val="379725808"/>
      </c:scatterChart>
      <c:valAx>
        <c:axId val="379726368"/>
        <c:scaling>
          <c:orientation val="minMax"/>
          <c:max val="2013"/>
          <c:min val="1980"/>
        </c:scaling>
        <c:delete val="0"/>
        <c:axPos val="b"/>
        <c:title>
          <c:tx>
            <c:strRef>
              <c:f>Graphing!$E$2</c:f>
              <c:strCache>
                <c:ptCount val="1"/>
                <c:pt idx="0">
                  <c:v>Year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725808"/>
        <c:crosses val="autoZero"/>
        <c:crossBetween val="midCat"/>
      </c:valAx>
      <c:valAx>
        <c:axId val="37972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Graphing!$F$1</c:f>
              <c:strCache>
                <c:ptCount val="1"/>
                <c:pt idx="0">
                  <c:v>$ Millions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72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Thousand Gallons Per Cap/Lag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 Revenue</c:v>
          </c:tx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'Water&amp;Sewer'!$AG$14:$AG$42</c:f>
              <c:numCache>
                <c:formatCode>0.000</c:formatCode>
                <c:ptCount val="29"/>
                <c:pt idx="0">
                  <c:v>8.4179013424611906</c:v>
                </c:pt>
                <c:pt idx="1">
                  <c:v>8.4225618954016177</c:v>
                </c:pt>
                <c:pt idx="2">
                  <c:v>8.5040997975013095</c:v>
                </c:pt>
                <c:pt idx="3">
                  <c:v>8.5376143506113547</c:v>
                </c:pt>
                <c:pt idx="4">
                  <c:v>8.5777321876741457</c:v>
                </c:pt>
                <c:pt idx="5">
                  <c:v>8.648933599525531</c:v>
                </c:pt>
                <c:pt idx="6">
                  <c:v>8.6412314872934832</c:v>
                </c:pt>
                <c:pt idx="7">
                  <c:v>8.6381362107904724</c:v>
                </c:pt>
                <c:pt idx="8">
                  <c:v>8.7369000261338225</c:v>
                </c:pt>
                <c:pt idx="9">
                  <c:v>8.7569221387995011</c:v>
                </c:pt>
                <c:pt idx="10">
                  <c:v>8.7755214460140643</c:v>
                </c:pt>
                <c:pt idx="11">
                  <c:v>8.8089694636989098</c:v>
                </c:pt>
                <c:pt idx="12">
                  <c:v>8.8507208667790653</c:v>
                </c:pt>
                <c:pt idx="13">
                  <c:v>8.8560310808545228</c:v>
                </c:pt>
                <c:pt idx="14">
                  <c:v>8.8683865978106233</c:v>
                </c:pt>
                <c:pt idx="15">
                  <c:v>8.8638955167207421</c:v>
                </c:pt>
                <c:pt idx="16">
                  <c:v>8.8894800113076808</c:v>
                </c:pt>
                <c:pt idx="17">
                  <c:v>8.9152943695859914</c:v>
                </c:pt>
                <c:pt idx="18">
                  <c:v>8.8907852720518417</c:v>
                </c:pt>
                <c:pt idx="19">
                  <c:v>8.9037708165824867</c:v>
                </c:pt>
                <c:pt idx="20">
                  <c:v>8.9255827670471284</c:v>
                </c:pt>
                <c:pt idx="21">
                  <c:v>8.9334400104482974</c:v>
                </c:pt>
                <c:pt idx="22">
                  <c:v>8.927550894992379</c:v>
                </c:pt>
                <c:pt idx="23">
                  <c:v>8.9468181081325078</c:v>
                </c:pt>
                <c:pt idx="24">
                  <c:v>8.9539162042248126</c:v>
                </c:pt>
                <c:pt idx="25">
                  <c:v>8.9954356650306391</c:v>
                </c:pt>
                <c:pt idx="26">
                  <c:v>9.0268899626185402</c:v>
                </c:pt>
                <c:pt idx="27">
                  <c:v>9.0799731342399816</c:v>
                </c:pt>
                <c:pt idx="28">
                  <c:v>9.1083976531543929</c:v>
                </c:pt>
              </c:numCache>
            </c:numRef>
          </c:yVal>
          <c:smooth val="0"/>
        </c:ser>
        <c:ser>
          <c:idx val="1"/>
          <c:order val="1"/>
          <c:tx>
            <c:v>Predicted Log Revenue</c:v>
          </c:tx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'Water&amp;Sewer'!$AK$67:$AK$95</c:f>
              <c:numCache>
                <c:formatCode>General</c:formatCode>
                <c:ptCount val="29"/>
                <c:pt idx="0">
                  <c:v>8.4135836146182292</c:v>
                </c:pt>
                <c:pt idx="1">
                  <c:v>8.4616172922249042</c:v>
                </c:pt>
                <c:pt idx="2">
                  <c:v>8.4718036033034316</c:v>
                </c:pt>
                <c:pt idx="3">
                  <c:v>8.5456981550683313</c:v>
                </c:pt>
                <c:pt idx="4">
                  <c:v>8.5746424470298557</c:v>
                </c:pt>
                <c:pt idx="5">
                  <c:v>8.6113370902194681</c:v>
                </c:pt>
                <c:pt idx="6">
                  <c:v>8.6849154797315755</c:v>
                </c:pt>
                <c:pt idx="7">
                  <c:v>8.675021009574623</c:v>
                </c:pt>
                <c:pt idx="8">
                  <c:v>8.6683896052389375</c:v>
                </c:pt>
                <c:pt idx="9">
                  <c:v>8.7635574125397184</c:v>
                </c:pt>
                <c:pt idx="10">
                  <c:v>8.7853464615456343</c:v>
                </c:pt>
                <c:pt idx="11">
                  <c:v>8.8039336529565961</c:v>
                </c:pt>
                <c:pt idx="12">
                  <c:v>8.8348698178703806</c:v>
                </c:pt>
                <c:pt idx="13">
                  <c:v>8.8790298977194801</c:v>
                </c:pt>
                <c:pt idx="14">
                  <c:v>8.8729155513458959</c:v>
                </c:pt>
                <c:pt idx="15">
                  <c:v>8.8828867952061454</c:v>
                </c:pt>
                <c:pt idx="16">
                  <c:v>8.8774872871291031</c:v>
                </c:pt>
                <c:pt idx="17">
                  <c:v>8.9018640791544996</c:v>
                </c:pt>
                <c:pt idx="18">
                  <c:v>8.9326986720035961</c:v>
                </c:pt>
                <c:pt idx="19">
                  <c:v>8.9032795980259767</c:v>
                </c:pt>
                <c:pt idx="20">
                  <c:v>8.9119244944734675</c:v>
                </c:pt>
                <c:pt idx="21">
                  <c:v>8.9314548243823761</c:v>
                </c:pt>
                <c:pt idx="22">
                  <c:v>8.9448849672878001</c:v>
                </c:pt>
                <c:pt idx="23">
                  <c:v>8.9458636303574952</c:v>
                </c:pt>
                <c:pt idx="24">
                  <c:v>8.9717256709582234</c:v>
                </c:pt>
                <c:pt idx="25">
                  <c:v>8.9784086542228696</c:v>
                </c:pt>
                <c:pt idx="26">
                  <c:v>9.0193148493305308</c:v>
                </c:pt>
                <c:pt idx="27">
                  <c:v>9.0555680722864604</c:v>
                </c:pt>
                <c:pt idx="28">
                  <c:v>9.0988701916813408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341440"/>
        <c:axId val="367342000"/>
      </c:scatterChart>
      <c:valAx>
        <c:axId val="3673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Thousand Gallons Per Cap/Lag 1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367342000"/>
        <c:crosses val="autoZero"/>
        <c:crossBetween val="midCat"/>
      </c:valAx>
      <c:valAx>
        <c:axId val="36734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Revenue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67341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PIT!$Y$4:$Y$33</c:f>
              <c:numCache>
                <c:formatCode>General</c:formatCode>
                <c:ptCount val="30"/>
                <c:pt idx="0">
                  <c:v>4.476937609647762</c:v>
                </c:pt>
                <c:pt idx="1">
                  <c:v>4.4819913470487771</c:v>
                </c:pt>
                <c:pt idx="2">
                  <c:v>4.4920742750458338</c:v>
                </c:pt>
                <c:pt idx="3">
                  <c:v>4.5081380829069548</c:v>
                </c:pt>
                <c:pt idx="4">
                  <c:v>4.5320950993182585</c:v>
                </c:pt>
                <c:pt idx="5">
                  <c:v>4.5445524148378054</c:v>
                </c:pt>
                <c:pt idx="6">
                  <c:v>4.5634786155118299</c:v>
                </c:pt>
                <c:pt idx="7">
                  <c:v>4.5749368710127154</c:v>
                </c:pt>
                <c:pt idx="8">
                  <c:v>4.5954697665336139</c:v>
                </c:pt>
                <c:pt idx="9">
                  <c:v>4.6050351732434427</c:v>
                </c:pt>
                <c:pt idx="10">
                  <c:v>4.6107207264859928</c:v>
                </c:pt>
                <c:pt idx="11">
                  <c:v>4.5923610415755576</c:v>
                </c:pt>
                <c:pt idx="12">
                  <c:v>4.5975809454681302</c:v>
                </c:pt>
                <c:pt idx="13">
                  <c:v>4.5916802645002344</c:v>
                </c:pt>
                <c:pt idx="14">
                  <c:v>4.5929540782623963</c:v>
                </c:pt>
                <c:pt idx="15">
                  <c:v>4.6021452270762468</c:v>
                </c:pt>
                <c:pt idx="16">
                  <c:v>4.6112409588950687</c:v>
                </c:pt>
                <c:pt idx="17">
                  <c:v>4.6238846611255848</c:v>
                </c:pt>
                <c:pt idx="18">
                  <c:v>4.6370280439467528</c:v>
                </c:pt>
                <c:pt idx="19">
                  <c:v>4.643940283363917</c:v>
                </c:pt>
                <c:pt idx="20">
                  <c:v>4.6553963087168535</c:v>
                </c:pt>
                <c:pt idx="21">
                  <c:v>4.6537808451239346</c:v>
                </c:pt>
                <c:pt idx="22">
                  <c:v>4.6466253337663526</c:v>
                </c:pt>
                <c:pt idx="23">
                  <c:v>4.6467226431294435</c:v>
                </c:pt>
                <c:pt idx="24">
                  <c:v>4.6630946518590495</c:v>
                </c:pt>
                <c:pt idx="25">
                  <c:v>4.6752888646561805</c:v>
                </c:pt>
                <c:pt idx="26">
                  <c:v>4.6965876331208909</c:v>
                </c:pt>
                <c:pt idx="27">
                  <c:v>4.7152775707709251</c:v>
                </c:pt>
                <c:pt idx="28">
                  <c:v>4.7128119531475665</c:v>
                </c:pt>
                <c:pt idx="29">
                  <c:v>4.6902419730083782</c:v>
                </c:pt>
              </c:numCache>
            </c:numRef>
          </c:xVal>
          <c:yVal>
            <c:numRef>
              <c:f>PIT!$AE$65:$AE$94</c:f>
              <c:numCache>
                <c:formatCode>General</c:formatCode>
                <c:ptCount val="30"/>
                <c:pt idx="0">
                  <c:v>-6.0747544090347549E-2</c:v>
                </c:pt>
                <c:pt idx="1">
                  <c:v>-2.2258730499209456E-2</c:v>
                </c:pt>
                <c:pt idx="2">
                  <c:v>9.2137545395036824E-3</c:v>
                </c:pt>
                <c:pt idx="3">
                  <c:v>1.2923975299547585E-2</c:v>
                </c:pt>
                <c:pt idx="4">
                  <c:v>-1.6839806304284721E-2</c:v>
                </c:pt>
                <c:pt idx="5">
                  <c:v>2.1110504239653327E-2</c:v>
                </c:pt>
                <c:pt idx="6">
                  <c:v>-4.4551140014881252E-2</c:v>
                </c:pt>
                <c:pt idx="7">
                  <c:v>-1.442395923334594E-2</c:v>
                </c:pt>
                <c:pt idx="8">
                  <c:v>-4.8077359610831483E-2</c:v>
                </c:pt>
                <c:pt idx="9">
                  <c:v>-4.0339895643995316E-2</c:v>
                </c:pt>
                <c:pt idx="10">
                  <c:v>4.4082168975290159E-4</c:v>
                </c:pt>
                <c:pt idx="11">
                  <c:v>4.6399956618342841E-2</c:v>
                </c:pt>
                <c:pt idx="12">
                  <c:v>3.8473783859849675E-2</c:v>
                </c:pt>
                <c:pt idx="13">
                  <c:v>3.5643139487475661E-2</c:v>
                </c:pt>
                <c:pt idx="14">
                  <c:v>1.7655382444400569E-2</c:v>
                </c:pt>
                <c:pt idx="15">
                  <c:v>3.3255328008290785E-2</c:v>
                </c:pt>
                <c:pt idx="16">
                  <c:v>7.4854942979192263E-2</c:v>
                </c:pt>
                <c:pt idx="17">
                  <c:v>6.6735385224424348E-2</c:v>
                </c:pt>
                <c:pt idx="18">
                  <c:v>2.7882519073661793E-2</c:v>
                </c:pt>
                <c:pt idx="19">
                  <c:v>3.3189758376126033E-2</c:v>
                </c:pt>
                <c:pt idx="20">
                  <c:v>-9.0394170546578057E-2</c:v>
                </c:pt>
                <c:pt idx="21">
                  <c:v>-0.10285432875810319</c:v>
                </c:pt>
                <c:pt idx="22">
                  <c:v>-2.4575178178876111E-2</c:v>
                </c:pt>
                <c:pt idx="23">
                  <c:v>3.5688213811579494E-2</c:v>
                </c:pt>
                <c:pt idx="24">
                  <c:v>5.1072592838198538E-2</c:v>
                </c:pt>
                <c:pt idx="25">
                  <c:v>5.970984604176488E-2</c:v>
                </c:pt>
                <c:pt idx="26">
                  <c:v>7.7968782109065771E-2</c:v>
                </c:pt>
                <c:pt idx="27">
                  <c:v>-6.1261740943362675E-2</c:v>
                </c:pt>
                <c:pt idx="28">
                  <c:v>-7.7157397515518866E-2</c:v>
                </c:pt>
                <c:pt idx="29">
                  <c:v>-3.8737435301710033E-2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871696"/>
        <c:axId val="367872256"/>
      </c:scatterChart>
      <c:valAx>
        <c:axId val="36787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872256"/>
        <c:crosses val="autoZero"/>
        <c:crossBetween val="midCat"/>
      </c:valAx>
      <c:valAx>
        <c:axId val="36787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87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PIT!$Z$4:$Z$33</c:f>
              <c:numCache>
                <c:formatCode>General</c:formatCode>
                <c:ptCount val="30"/>
                <c:pt idx="0">
                  <c:v>6.8495200822779756</c:v>
                </c:pt>
                <c:pt idx="1">
                  <c:v>6.8498663166695621</c:v>
                </c:pt>
                <c:pt idx="2">
                  <c:v>6.8505451534777375</c:v>
                </c:pt>
                <c:pt idx="3">
                  <c:v>6.8543151527785584</c:v>
                </c:pt>
                <c:pt idx="4">
                  <c:v>6.8572285549116145</c:v>
                </c:pt>
                <c:pt idx="5">
                  <c:v>6.8593052553308915</c:v>
                </c:pt>
                <c:pt idx="6">
                  <c:v>6.8619480779093056</c:v>
                </c:pt>
                <c:pt idx="7">
                  <c:v>6.8628723881314517</c:v>
                </c:pt>
                <c:pt idx="8">
                  <c:v>6.862720379378775</c:v>
                </c:pt>
                <c:pt idx="9">
                  <c:v>6.8641405267824105</c:v>
                </c:pt>
                <c:pt idx="10">
                  <c:v>6.8646631761508878</c:v>
                </c:pt>
                <c:pt idx="11">
                  <c:v>6.8635893637551249</c:v>
                </c:pt>
                <c:pt idx="12">
                  <c:v>6.8636139777996341</c:v>
                </c:pt>
                <c:pt idx="13">
                  <c:v>6.8650494029701026</c:v>
                </c:pt>
                <c:pt idx="14">
                  <c:v>6.8791221543819514</c:v>
                </c:pt>
                <c:pt idx="15">
                  <c:v>6.8826975382539617</c:v>
                </c:pt>
                <c:pt idx="16">
                  <c:v>6.8863317555813364</c:v>
                </c:pt>
                <c:pt idx="17">
                  <c:v>6.8906134183774626</c:v>
                </c:pt>
                <c:pt idx="18">
                  <c:v>6.8953263386037005</c:v>
                </c:pt>
                <c:pt idx="19">
                  <c:v>6.9002392797661312</c:v>
                </c:pt>
                <c:pt idx="20">
                  <c:v>6.9040956249643619</c:v>
                </c:pt>
                <c:pt idx="21">
                  <c:v>6.9065040389186079</c:v>
                </c:pt>
                <c:pt idx="22">
                  <c:v>6.9069811532288545</c:v>
                </c:pt>
                <c:pt idx="23">
                  <c:v>6.9067698190590407</c:v>
                </c:pt>
                <c:pt idx="24">
                  <c:v>6.9054378310006772</c:v>
                </c:pt>
                <c:pt idx="25">
                  <c:v>6.9038150874183781</c:v>
                </c:pt>
                <c:pt idx="26">
                  <c:v>6.9027590371038059</c:v>
                </c:pt>
                <c:pt idx="27">
                  <c:v>6.9038371447312965</c:v>
                </c:pt>
                <c:pt idx="28">
                  <c:v>6.9067763861198745</c:v>
                </c:pt>
                <c:pt idx="29">
                  <c:v>6.9101746185769972</c:v>
                </c:pt>
              </c:numCache>
            </c:numRef>
          </c:xVal>
          <c:yVal>
            <c:numRef>
              <c:f>PIT!$AE$65:$AE$94</c:f>
              <c:numCache>
                <c:formatCode>General</c:formatCode>
                <c:ptCount val="30"/>
                <c:pt idx="0">
                  <c:v>-6.0747544090347549E-2</c:v>
                </c:pt>
                <c:pt idx="1">
                  <c:v>-2.2258730499209456E-2</c:v>
                </c:pt>
                <c:pt idx="2">
                  <c:v>9.2137545395036824E-3</c:v>
                </c:pt>
                <c:pt idx="3">
                  <c:v>1.2923975299547585E-2</c:v>
                </c:pt>
                <c:pt idx="4">
                  <c:v>-1.6839806304284721E-2</c:v>
                </c:pt>
                <c:pt idx="5">
                  <c:v>2.1110504239653327E-2</c:v>
                </c:pt>
                <c:pt idx="6">
                  <c:v>-4.4551140014881252E-2</c:v>
                </c:pt>
                <c:pt idx="7">
                  <c:v>-1.442395923334594E-2</c:v>
                </c:pt>
                <c:pt idx="8">
                  <c:v>-4.8077359610831483E-2</c:v>
                </c:pt>
                <c:pt idx="9">
                  <c:v>-4.0339895643995316E-2</c:v>
                </c:pt>
                <c:pt idx="10">
                  <c:v>4.4082168975290159E-4</c:v>
                </c:pt>
                <c:pt idx="11">
                  <c:v>4.6399956618342841E-2</c:v>
                </c:pt>
                <c:pt idx="12">
                  <c:v>3.8473783859849675E-2</c:v>
                </c:pt>
                <c:pt idx="13">
                  <c:v>3.5643139487475661E-2</c:v>
                </c:pt>
                <c:pt idx="14">
                  <c:v>1.7655382444400569E-2</c:v>
                </c:pt>
                <c:pt idx="15">
                  <c:v>3.3255328008290785E-2</c:v>
                </c:pt>
                <c:pt idx="16">
                  <c:v>7.4854942979192263E-2</c:v>
                </c:pt>
                <c:pt idx="17">
                  <c:v>6.6735385224424348E-2</c:v>
                </c:pt>
                <c:pt idx="18">
                  <c:v>2.7882519073661793E-2</c:v>
                </c:pt>
                <c:pt idx="19">
                  <c:v>3.3189758376126033E-2</c:v>
                </c:pt>
                <c:pt idx="20">
                  <c:v>-9.0394170546578057E-2</c:v>
                </c:pt>
                <c:pt idx="21">
                  <c:v>-0.10285432875810319</c:v>
                </c:pt>
                <c:pt idx="22">
                  <c:v>-2.4575178178876111E-2</c:v>
                </c:pt>
                <c:pt idx="23">
                  <c:v>3.5688213811579494E-2</c:v>
                </c:pt>
                <c:pt idx="24">
                  <c:v>5.1072592838198538E-2</c:v>
                </c:pt>
                <c:pt idx="25">
                  <c:v>5.970984604176488E-2</c:v>
                </c:pt>
                <c:pt idx="26">
                  <c:v>7.7968782109065771E-2</c:v>
                </c:pt>
                <c:pt idx="27">
                  <c:v>-6.1261740943362675E-2</c:v>
                </c:pt>
                <c:pt idx="28">
                  <c:v>-7.7157397515518866E-2</c:v>
                </c:pt>
                <c:pt idx="29">
                  <c:v>-3.8737435301710033E-2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474368"/>
        <c:axId val="367474928"/>
      </c:scatterChart>
      <c:valAx>
        <c:axId val="3674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7474928"/>
        <c:crosses val="autoZero"/>
        <c:crossBetween val="midCat"/>
      </c:valAx>
      <c:valAx>
        <c:axId val="36747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7474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PIT!$AP$4:$AP$32</c:f>
              <c:numCache>
                <c:formatCode>0.0000</c:formatCode>
                <c:ptCount val="29"/>
                <c:pt idx="0">
                  <c:v>2.1664486867506687</c:v>
                </c:pt>
                <c:pt idx="1">
                  <c:v>2.1739177421485683</c:v>
                </c:pt>
                <c:pt idx="2">
                  <c:v>2.1847665008056119</c:v>
                </c:pt>
                <c:pt idx="3">
                  <c:v>2.2004150627258143</c:v>
                </c:pt>
                <c:pt idx="4">
                  <c:v>2.2004814319444139</c:v>
                </c:pt>
                <c:pt idx="5">
                  <c:v>2.2129645127822042</c:v>
                </c:pt>
                <c:pt idx="6">
                  <c:v>2.2146338391357134</c:v>
                </c:pt>
                <c:pt idx="7">
                  <c:v>2.2292403444009783</c:v>
                </c:pt>
                <c:pt idx="8">
                  <c:v>2.2281858140771469</c:v>
                </c:pt>
                <c:pt idx="9">
                  <c:v>2.2289239882782783</c:v>
                </c:pt>
                <c:pt idx="10">
                  <c:v>2.2076236456619709</c:v>
                </c:pt>
                <c:pt idx="11">
                  <c:v>2.2223394678242396</c:v>
                </c:pt>
                <c:pt idx="12">
                  <c:v>2.2137389703300063</c:v>
                </c:pt>
                <c:pt idx="13">
                  <c:v>2.2180647092466597</c:v>
                </c:pt>
                <c:pt idx="14">
                  <c:v>2.2265970215153672</c:v>
                </c:pt>
                <c:pt idx="15">
                  <c:v>2.2309389463725382</c:v>
                </c:pt>
                <c:pt idx="16">
                  <c:v>2.238878192814409</c:v>
                </c:pt>
                <c:pt idx="17">
                  <c:v>2.2454820536561382</c:v>
                </c:pt>
                <c:pt idx="18">
                  <c:v>2.245596328420532</c:v>
                </c:pt>
                <c:pt idx="19">
                  <c:v>2.2534772346531695</c:v>
                </c:pt>
                <c:pt idx="20">
                  <c:v>2.2459365342722695</c:v>
                </c:pt>
                <c:pt idx="21">
                  <c:v>2.2396165661345666</c:v>
                </c:pt>
                <c:pt idx="22">
                  <c:v>2.2434148186979876</c:v>
                </c:pt>
                <c:pt idx="23">
                  <c:v>2.2597364974920149</c:v>
                </c:pt>
                <c:pt idx="24">
                  <c:v>2.2634628494535427</c:v>
                </c:pt>
                <c:pt idx="25">
                  <c:v>2.2784545789549089</c:v>
                </c:pt>
                <c:pt idx="26">
                  <c:v>2.286128458019367</c:v>
                </c:pt>
                <c:pt idx="27">
                  <c:v>2.2739961102066699</c:v>
                </c:pt>
                <c:pt idx="28">
                  <c:v>2.252701386345024</c:v>
                </c:pt>
              </c:numCache>
            </c:numRef>
          </c:xVal>
          <c:yVal>
            <c:numRef>
              <c:f>PIT!$AP$65:$AP$93</c:f>
              <c:numCache>
                <c:formatCode>General</c:formatCode>
                <c:ptCount val="29"/>
                <c:pt idx="0">
                  <c:v>-1.7142864887014442E-2</c:v>
                </c:pt>
                <c:pt idx="1">
                  <c:v>-1.4408310727502815E-3</c:v>
                </c:pt>
                <c:pt idx="2">
                  <c:v>-1.0377182056391376E-2</c:v>
                </c:pt>
                <c:pt idx="3">
                  <c:v>-3.3319595431185123E-2</c:v>
                </c:pt>
                <c:pt idx="4">
                  <c:v>1.9562742956557688E-2</c:v>
                </c:pt>
                <c:pt idx="5">
                  <c:v>-5.9461287636555449E-2</c:v>
                </c:pt>
                <c:pt idx="6">
                  <c:v>6.0408717728532846E-3</c:v>
                </c:pt>
                <c:pt idx="7">
                  <c:v>-3.3686591544968225E-2</c:v>
                </c:pt>
                <c:pt idx="8">
                  <c:v>-1.0512181439634283E-2</c:v>
                </c:pt>
                <c:pt idx="9">
                  <c:v>2.6906012304329208E-2</c:v>
                </c:pt>
                <c:pt idx="10">
                  <c:v>3.9904434021642565E-2</c:v>
                </c:pt>
                <c:pt idx="11">
                  <c:v>1.6714636753296208E-2</c:v>
                </c:pt>
                <c:pt idx="12">
                  <c:v>1.1456758067799333E-2</c:v>
                </c:pt>
                <c:pt idx="13">
                  <c:v>-1.418116791413282E-2</c:v>
                </c:pt>
                <c:pt idx="14">
                  <c:v>1.9220154986139715E-2</c:v>
                </c:pt>
                <c:pt idx="15">
                  <c:v>5.3836901898659084E-2</c:v>
                </c:pt>
                <c:pt idx="16">
                  <c:v>2.6947194957875897E-2</c:v>
                </c:pt>
                <c:pt idx="17">
                  <c:v>-5.8637891673325448E-3</c:v>
                </c:pt>
                <c:pt idx="18">
                  <c:v>1.7424053451231991E-2</c:v>
                </c:pt>
                <c:pt idx="19">
                  <c:v>-0.10523567209249762</c:v>
                </c:pt>
                <c:pt idx="20">
                  <c:v>-5.8763110758370596E-2</c:v>
                </c:pt>
                <c:pt idx="21">
                  <c:v>2.2765557403293224E-2</c:v>
                </c:pt>
                <c:pt idx="22">
                  <c:v>4.5273950048561717E-2</c:v>
                </c:pt>
                <c:pt idx="23">
                  <c:v>4.0571580332939838E-2</c:v>
                </c:pt>
                <c:pt idx="24">
                  <c:v>4.4359800386004178E-2</c:v>
                </c:pt>
                <c:pt idx="25">
                  <c:v>6.7530889260016824E-2</c:v>
                </c:pt>
                <c:pt idx="26">
                  <c:v>-7.7873876668668629E-2</c:v>
                </c:pt>
                <c:pt idx="27">
                  <c:v>-3.1295058331052061E-2</c:v>
                </c:pt>
                <c:pt idx="28">
                  <c:v>6.3767039946549531E-4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477168"/>
        <c:axId val="406551904"/>
      </c:scatterChart>
      <c:valAx>
        <c:axId val="36747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406551904"/>
        <c:crosses val="autoZero"/>
        <c:crossBetween val="midCat"/>
      </c:valAx>
      <c:valAx>
        <c:axId val="40655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7477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PIT!$AQ$4:$AQ$32</c:f>
              <c:numCache>
                <c:formatCode>0.0000</c:formatCode>
                <c:ptCount val="29"/>
                <c:pt idx="0">
                  <c:v>3.3071866244387991</c:v>
                </c:pt>
                <c:pt idx="1">
                  <c:v>3.3076863833651537</c:v>
                </c:pt>
                <c:pt idx="2">
                  <c:v>3.3111052775745557</c:v>
                </c:pt>
                <c:pt idx="3">
                  <c:v>3.3120687766775738</c:v>
                </c:pt>
                <c:pt idx="4">
                  <c:v>3.312638619616604</c:v>
                </c:pt>
                <c:pt idx="5">
                  <c:v>3.314207340022334</c:v>
                </c:pt>
                <c:pt idx="6">
                  <c:v>3.3137647407725388</c:v>
                </c:pt>
                <c:pt idx="7">
                  <c:v>3.3131346642116091</c:v>
                </c:pt>
                <c:pt idx="8">
                  <c:v>3.3146334329368381</c:v>
                </c:pt>
                <c:pt idx="9">
                  <c:v>3.3144215596954978</c:v>
                </c:pt>
                <c:pt idx="10">
                  <c:v>3.3130774248126671</c:v>
                </c:pt>
                <c:pt idx="11">
                  <c:v>3.3136574315448448</c:v>
                </c:pt>
                <c:pt idx="12">
                  <c:v>3.3150801259437293</c:v>
                </c:pt>
                <c:pt idx="13">
                  <c:v>3.3284104528440723</c:v>
                </c:pt>
                <c:pt idx="14">
                  <c:v>3.3247071879871646</c:v>
                </c:pt>
                <c:pt idx="15">
                  <c:v>3.326492160450206</c:v>
                </c:pt>
                <c:pt idx="16">
                  <c:v>3.3288941487920365</c:v>
                </c:pt>
                <c:pt idx="17">
                  <c:v>3.3313925255678418</c:v>
                </c:pt>
                <c:pt idx="18">
                  <c:v>3.3338678701430613</c:v>
                </c:pt>
                <c:pt idx="19">
                  <c:v>3.3351831647748003</c:v>
                </c:pt>
                <c:pt idx="20">
                  <c:v>3.335597016240595</c:v>
                </c:pt>
                <c:pt idx="21">
                  <c:v>3.3348284609121372</c:v>
                </c:pt>
                <c:pt idx="22">
                  <c:v>3.3343703557047206</c:v>
                </c:pt>
                <c:pt idx="23">
                  <c:v>3.3331476730082921</c:v>
                </c:pt>
                <c:pt idx="24">
                  <c:v>3.3322138546335953</c:v>
                </c:pt>
                <c:pt idx="25">
                  <c:v>3.3319971128640966</c:v>
                </c:pt>
                <c:pt idx="26">
                  <c:v>3.3336214263510442</c:v>
                </c:pt>
                <c:pt idx="27">
                  <c:v>3.3360030534904381</c:v>
                </c:pt>
                <c:pt idx="28">
                  <c:v>3.3378810639972931</c:v>
                </c:pt>
              </c:numCache>
            </c:numRef>
          </c:xVal>
          <c:yVal>
            <c:numRef>
              <c:f>PIT!$AP$65:$AP$93</c:f>
              <c:numCache>
                <c:formatCode>General</c:formatCode>
                <c:ptCount val="29"/>
                <c:pt idx="0">
                  <c:v>-1.7142864887014442E-2</c:v>
                </c:pt>
                <c:pt idx="1">
                  <c:v>-1.4408310727502815E-3</c:v>
                </c:pt>
                <c:pt idx="2">
                  <c:v>-1.0377182056391376E-2</c:v>
                </c:pt>
                <c:pt idx="3">
                  <c:v>-3.3319595431185123E-2</c:v>
                </c:pt>
                <c:pt idx="4">
                  <c:v>1.9562742956557688E-2</c:v>
                </c:pt>
                <c:pt idx="5">
                  <c:v>-5.9461287636555449E-2</c:v>
                </c:pt>
                <c:pt idx="6">
                  <c:v>6.0408717728532846E-3</c:v>
                </c:pt>
                <c:pt idx="7">
                  <c:v>-3.3686591544968225E-2</c:v>
                </c:pt>
                <c:pt idx="8">
                  <c:v>-1.0512181439634283E-2</c:v>
                </c:pt>
                <c:pt idx="9">
                  <c:v>2.6906012304329208E-2</c:v>
                </c:pt>
                <c:pt idx="10">
                  <c:v>3.9904434021642565E-2</c:v>
                </c:pt>
                <c:pt idx="11">
                  <c:v>1.6714636753296208E-2</c:v>
                </c:pt>
                <c:pt idx="12">
                  <c:v>1.1456758067799333E-2</c:v>
                </c:pt>
                <c:pt idx="13">
                  <c:v>-1.418116791413282E-2</c:v>
                </c:pt>
                <c:pt idx="14">
                  <c:v>1.9220154986139715E-2</c:v>
                </c:pt>
                <c:pt idx="15">
                  <c:v>5.3836901898659084E-2</c:v>
                </c:pt>
                <c:pt idx="16">
                  <c:v>2.6947194957875897E-2</c:v>
                </c:pt>
                <c:pt idx="17">
                  <c:v>-5.8637891673325448E-3</c:v>
                </c:pt>
                <c:pt idx="18">
                  <c:v>1.7424053451231991E-2</c:v>
                </c:pt>
                <c:pt idx="19">
                  <c:v>-0.10523567209249762</c:v>
                </c:pt>
                <c:pt idx="20">
                  <c:v>-5.8763110758370596E-2</c:v>
                </c:pt>
                <c:pt idx="21">
                  <c:v>2.2765557403293224E-2</c:v>
                </c:pt>
                <c:pt idx="22">
                  <c:v>4.5273950048561717E-2</c:v>
                </c:pt>
                <c:pt idx="23">
                  <c:v>4.0571580332939838E-2</c:v>
                </c:pt>
                <c:pt idx="24">
                  <c:v>4.4359800386004178E-2</c:v>
                </c:pt>
                <c:pt idx="25">
                  <c:v>6.7530889260016824E-2</c:v>
                </c:pt>
                <c:pt idx="26">
                  <c:v>-7.7873876668668629E-2</c:v>
                </c:pt>
                <c:pt idx="27">
                  <c:v>-3.1295058331052061E-2</c:v>
                </c:pt>
                <c:pt idx="28">
                  <c:v>6.3767039946549531E-4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554144"/>
        <c:axId val="406554704"/>
      </c:scatterChart>
      <c:valAx>
        <c:axId val="4065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406554704"/>
        <c:crosses val="autoZero"/>
        <c:crossBetween val="midCat"/>
      </c:valAx>
      <c:valAx>
        <c:axId val="40655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6554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Real PCI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PIT!$AP$4:$AP$32</c:f>
              <c:numCache>
                <c:formatCode>0.0000</c:formatCode>
                <c:ptCount val="29"/>
                <c:pt idx="0">
                  <c:v>2.1664486867506687</c:v>
                </c:pt>
                <c:pt idx="1">
                  <c:v>2.1739177421485683</c:v>
                </c:pt>
                <c:pt idx="2">
                  <c:v>2.1847665008056119</c:v>
                </c:pt>
                <c:pt idx="3">
                  <c:v>2.2004150627258143</c:v>
                </c:pt>
                <c:pt idx="4">
                  <c:v>2.2004814319444139</c:v>
                </c:pt>
                <c:pt idx="5">
                  <c:v>2.2129645127822042</c:v>
                </c:pt>
                <c:pt idx="6">
                  <c:v>2.2146338391357134</c:v>
                </c:pt>
                <c:pt idx="7">
                  <c:v>2.2292403444009783</c:v>
                </c:pt>
                <c:pt idx="8">
                  <c:v>2.2281858140771469</c:v>
                </c:pt>
                <c:pt idx="9">
                  <c:v>2.2289239882782783</c:v>
                </c:pt>
                <c:pt idx="10">
                  <c:v>2.2076236456619709</c:v>
                </c:pt>
                <c:pt idx="11">
                  <c:v>2.2223394678242396</c:v>
                </c:pt>
                <c:pt idx="12">
                  <c:v>2.2137389703300063</c:v>
                </c:pt>
                <c:pt idx="13">
                  <c:v>2.2180647092466597</c:v>
                </c:pt>
                <c:pt idx="14">
                  <c:v>2.2265970215153672</c:v>
                </c:pt>
                <c:pt idx="15">
                  <c:v>2.2309389463725382</c:v>
                </c:pt>
                <c:pt idx="16">
                  <c:v>2.238878192814409</c:v>
                </c:pt>
                <c:pt idx="17">
                  <c:v>2.2454820536561382</c:v>
                </c:pt>
                <c:pt idx="18">
                  <c:v>2.245596328420532</c:v>
                </c:pt>
                <c:pt idx="19">
                  <c:v>2.2534772346531695</c:v>
                </c:pt>
                <c:pt idx="20">
                  <c:v>2.2459365342722695</c:v>
                </c:pt>
                <c:pt idx="21">
                  <c:v>2.2396165661345666</c:v>
                </c:pt>
                <c:pt idx="22">
                  <c:v>2.2434148186979876</c:v>
                </c:pt>
                <c:pt idx="23">
                  <c:v>2.2597364974920149</c:v>
                </c:pt>
                <c:pt idx="24">
                  <c:v>2.2634628494535427</c:v>
                </c:pt>
                <c:pt idx="25">
                  <c:v>2.2784545789549089</c:v>
                </c:pt>
                <c:pt idx="26">
                  <c:v>2.286128458019367</c:v>
                </c:pt>
                <c:pt idx="27">
                  <c:v>2.2739961102066699</c:v>
                </c:pt>
                <c:pt idx="28">
                  <c:v>2.252701386345024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65728"/>
        <c:axId val="143066288"/>
      </c:scatterChart>
      <c:valAx>
        <c:axId val="14306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Real PCI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143066288"/>
        <c:crosses val="autoZero"/>
        <c:crossBetween val="midCat"/>
      </c:valAx>
      <c:valAx>
        <c:axId val="14306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065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Population Adjusted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PIT!$AQ$4:$AQ$32</c:f>
              <c:numCache>
                <c:formatCode>0.0000</c:formatCode>
                <c:ptCount val="29"/>
                <c:pt idx="0">
                  <c:v>3.3071866244387991</c:v>
                </c:pt>
                <c:pt idx="1">
                  <c:v>3.3076863833651537</c:v>
                </c:pt>
                <c:pt idx="2">
                  <c:v>3.3111052775745557</c:v>
                </c:pt>
                <c:pt idx="3">
                  <c:v>3.3120687766775738</c:v>
                </c:pt>
                <c:pt idx="4">
                  <c:v>3.312638619616604</c:v>
                </c:pt>
                <c:pt idx="5">
                  <c:v>3.314207340022334</c:v>
                </c:pt>
                <c:pt idx="6">
                  <c:v>3.3137647407725388</c:v>
                </c:pt>
                <c:pt idx="7">
                  <c:v>3.3131346642116091</c:v>
                </c:pt>
                <c:pt idx="8">
                  <c:v>3.3146334329368381</c:v>
                </c:pt>
                <c:pt idx="9">
                  <c:v>3.3144215596954978</c:v>
                </c:pt>
                <c:pt idx="10">
                  <c:v>3.3130774248126671</c:v>
                </c:pt>
                <c:pt idx="11">
                  <c:v>3.3136574315448448</c:v>
                </c:pt>
                <c:pt idx="12">
                  <c:v>3.3150801259437293</c:v>
                </c:pt>
                <c:pt idx="13">
                  <c:v>3.3284104528440723</c:v>
                </c:pt>
                <c:pt idx="14">
                  <c:v>3.3247071879871646</c:v>
                </c:pt>
                <c:pt idx="15">
                  <c:v>3.326492160450206</c:v>
                </c:pt>
                <c:pt idx="16">
                  <c:v>3.3288941487920365</c:v>
                </c:pt>
                <c:pt idx="17">
                  <c:v>3.3313925255678418</c:v>
                </c:pt>
                <c:pt idx="18">
                  <c:v>3.3338678701430613</c:v>
                </c:pt>
                <c:pt idx="19">
                  <c:v>3.3351831647748003</c:v>
                </c:pt>
                <c:pt idx="20">
                  <c:v>3.335597016240595</c:v>
                </c:pt>
                <c:pt idx="21">
                  <c:v>3.3348284609121372</c:v>
                </c:pt>
                <c:pt idx="22">
                  <c:v>3.3343703557047206</c:v>
                </c:pt>
                <c:pt idx="23">
                  <c:v>3.3331476730082921</c:v>
                </c:pt>
                <c:pt idx="24">
                  <c:v>3.3322138546335953</c:v>
                </c:pt>
                <c:pt idx="25">
                  <c:v>3.3319971128640966</c:v>
                </c:pt>
                <c:pt idx="26">
                  <c:v>3.3336214263510442</c:v>
                </c:pt>
                <c:pt idx="27">
                  <c:v>3.3360030534904381</c:v>
                </c:pt>
                <c:pt idx="28">
                  <c:v>3.3378810639972931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12896"/>
        <c:axId val="387213456"/>
      </c:scatterChart>
      <c:valAx>
        <c:axId val="38721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Population Adjusted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7213456"/>
        <c:crosses val="autoZero"/>
        <c:crossBetween val="midCat"/>
      </c:valAx>
      <c:valAx>
        <c:axId val="38721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212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Distress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PIT!$AR$4:$AR$32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PIT!$BK$68:$BK$96</c:f>
              <c:numCache>
                <c:formatCode>General</c:formatCode>
                <c:ptCount val="29"/>
                <c:pt idx="0">
                  <c:v>7.6940557456495196E-3</c:v>
                </c:pt>
                <c:pt idx="1">
                  <c:v>1.8771340620578503E-2</c:v>
                </c:pt>
                <c:pt idx="2">
                  <c:v>3.5150745237384484E-3</c:v>
                </c:pt>
                <c:pt idx="3">
                  <c:v>-2.9129072860759608E-2</c:v>
                </c:pt>
                <c:pt idx="4">
                  <c:v>2.3795627826978194E-2</c:v>
                </c:pt>
                <c:pt idx="5">
                  <c:v>-6.2849510407376963E-2</c:v>
                </c:pt>
                <c:pt idx="6">
                  <c:v>1.5372044671051466E-3</c:v>
                </c:pt>
                <c:pt idx="7">
                  <c:v>-4.7471695054814633E-2</c:v>
                </c:pt>
                <c:pt idx="8">
                  <c:v>-2.3412688691796468E-2</c:v>
                </c:pt>
                <c:pt idx="9">
                  <c:v>1.35098719646638E-2</c:v>
                </c:pt>
                <c:pt idx="10">
                  <c:v>3.9709177220701442E-2</c:v>
                </c:pt>
                <c:pt idx="11">
                  <c:v>7.3477931573830979E-3</c:v>
                </c:pt>
                <c:pt idx="12">
                  <c:v>7.7101809442614577E-3</c:v>
                </c:pt>
                <c:pt idx="13">
                  <c:v>-1.868126369441625E-2</c:v>
                </c:pt>
                <c:pt idx="14">
                  <c:v>8.8060574437718309E-3</c:v>
                </c:pt>
                <c:pt idx="15">
                  <c:v>4.0954928445776195E-2</c:v>
                </c:pt>
                <c:pt idx="16">
                  <c:v>9.4254745156789888E-3</c:v>
                </c:pt>
                <c:pt idx="17">
                  <c:v>-2.7170985447487528E-2</c:v>
                </c:pt>
                <c:pt idx="18">
                  <c:v>-3.5896508021933116E-3</c:v>
                </c:pt>
                <c:pt idx="19">
                  <c:v>-5.5121329007376652E-2</c:v>
                </c:pt>
                <c:pt idx="20">
                  <c:v>-3.844094126752795E-3</c:v>
                </c:pt>
                <c:pt idx="21">
                  <c:v>5.655298662693875E-3</c:v>
                </c:pt>
                <c:pt idx="22">
                  <c:v>2.570672629381332E-2</c:v>
                </c:pt>
                <c:pt idx="23">
                  <c:v>1.0556492945355878E-2</c:v>
                </c:pt>
                <c:pt idx="24">
                  <c:v>1.1862759494817521E-2</c:v>
                </c:pt>
                <c:pt idx="25">
                  <c:v>0.10146259061336904</c:v>
                </c:pt>
                <c:pt idx="26">
                  <c:v>-4.8529779394839601E-2</c:v>
                </c:pt>
                <c:pt idx="27">
                  <c:v>6.0326119156117741E-3</c:v>
                </c:pt>
                <c:pt idx="28">
                  <c:v>-2.4253197314057839E-2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15696"/>
        <c:axId val="387216256"/>
      </c:scatterChart>
      <c:valAx>
        <c:axId val="38721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Distress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216256"/>
        <c:crosses val="autoZero"/>
        <c:crossBetween val="midCat"/>
      </c:valAx>
      <c:valAx>
        <c:axId val="38721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215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LevelMAAnalysisPak!$F$2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LevelMAAnalysisPak!$F$3:$F$35</c:f>
              <c:numCache>
                <c:formatCode>_(* #,##0_);_(* \(#,##0\);_(* "-"??_);_(@_)</c:formatCode>
                <c:ptCount val="33"/>
                <c:pt idx="0">
                  <c:v>2.1588560000000001</c:v>
                </c:pt>
                <c:pt idx="1">
                  <c:v>2.6369919999999998</c:v>
                </c:pt>
                <c:pt idx="2">
                  <c:v>2.841888</c:v>
                </c:pt>
                <c:pt idx="3">
                  <c:v>2.4732080000000001</c:v>
                </c:pt>
                <c:pt idx="4">
                  <c:v>4.8257649999999996</c:v>
                </c:pt>
                <c:pt idx="5">
                  <c:v>3.0165950000000001</c:v>
                </c:pt>
                <c:pt idx="6">
                  <c:v>4.4816729999999998</c:v>
                </c:pt>
                <c:pt idx="7">
                  <c:v>7.0281729999999998</c:v>
                </c:pt>
                <c:pt idx="8">
                  <c:v>11.573762</c:v>
                </c:pt>
                <c:pt idx="9">
                  <c:v>9.9437689999999996</c:v>
                </c:pt>
                <c:pt idx="10">
                  <c:v>7.4675840000000004</c:v>
                </c:pt>
                <c:pt idx="11">
                  <c:v>7.3560499999999998</c:v>
                </c:pt>
                <c:pt idx="12">
                  <c:v>6.7710439999999998</c:v>
                </c:pt>
                <c:pt idx="13">
                  <c:v>8.7379580000000008</c:v>
                </c:pt>
                <c:pt idx="14">
                  <c:v>7.907044</c:v>
                </c:pt>
                <c:pt idx="15">
                  <c:v>6.6746090000000002</c:v>
                </c:pt>
                <c:pt idx="16">
                  <c:v>2.8164570000000002</c:v>
                </c:pt>
                <c:pt idx="17">
                  <c:v>8.4250129999999999</c:v>
                </c:pt>
                <c:pt idx="18">
                  <c:v>4.454135</c:v>
                </c:pt>
                <c:pt idx="19">
                  <c:v>8.8877690000000005</c:v>
                </c:pt>
                <c:pt idx="20">
                  <c:v>5.8299070000000004</c:v>
                </c:pt>
                <c:pt idx="21">
                  <c:v>7.5220469999999997</c:v>
                </c:pt>
                <c:pt idx="22">
                  <c:v>6.7269969999999999</c:v>
                </c:pt>
                <c:pt idx="23">
                  <c:v>6.149235</c:v>
                </c:pt>
                <c:pt idx="24">
                  <c:v>8.7567269999999997</c:v>
                </c:pt>
                <c:pt idx="25">
                  <c:v>7.0351650000000001</c:v>
                </c:pt>
                <c:pt idx="26">
                  <c:v>5.7196389999999999</c:v>
                </c:pt>
                <c:pt idx="27">
                  <c:v>3.3550659999999999</c:v>
                </c:pt>
                <c:pt idx="28">
                  <c:v>4.4769199999999998</c:v>
                </c:pt>
                <c:pt idx="29">
                  <c:v>4.1822840000000001</c:v>
                </c:pt>
                <c:pt idx="30">
                  <c:v>4.397214</c:v>
                </c:pt>
                <c:pt idx="31">
                  <c:v>3.431073</c:v>
                </c:pt>
                <c:pt idx="32">
                  <c:v>3.8852259999999998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06944"/>
        <c:axId val="387207504"/>
      </c:scatterChart>
      <c:valAx>
        <c:axId val="387206944"/>
        <c:scaling>
          <c:orientation val="minMax"/>
          <c:max val="2013"/>
          <c:min val="1980"/>
        </c:scaling>
        <c:delete val="0"/>
        <c:axPos val="b"/>
        <c:title>
          <c:tx>
            <c:strRef>
              <c:f>LevelMAAnalysisPak!$E$2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07504"/>
        <c:crosses val="autoZero"/>
        <c:crossBetween val="midCat"/>
      </c:valAx>
      <c:valAx>
        <c:axId val="3872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LevelMAAnalysisPak!$F$1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0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LevelMAAnalysisPak!$S$10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LevelMAAnalysisPak!$S$13:$S$39</c:f>
              <c:numCache>
                <c:formatCode>_(* #,##0_);_(* \(#,##0\);_(* "-"??_);_(@_)</c:formatCode>
                <c:ptCount val="27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LevelMAAnalysisPak!$U$10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LevelMAAnalysisPak!$U$13:$U$39</c:f>
              <c:numCache>
                <c:formatCode>General</c:formatCode>
                <c:ptCount val="27"/>
                <c:pt idx="7" formatCode="_(* #,##0_);_(* \(#,##0\);_(* &quot;-&quot;??_);_(@_)">
                  <c:v>6818.6780000000008</c:v>
                </c:pt>
                <c:pt idx="8" formatCode="_(* #,##0_);_(* \(#,##0\);_(* &quot;-&quot;??_);_(@_)">
                  <c:v>6955.4535714285721</c:v>
                </c:pt>
                <c:pt idx="9" formatCode="_(* #,##0_);_(* \(#,##0\);_(* &quot;-&quot;??_);_(@_)">
                  <c:v>6540.8942857142856</c:v>
                </c:pt>
                <c:pt idx="10" formatCode="_(* #,##0_);_(* \(#,##0\);_(* &quot;-&quot;??_);_(@_)">
                  <c:v>6843.2835714285711</c:v>
                </c:pt>
                <c:pt idx="11" formatCode="_(* #,##0_);_(* \(#,##0\);_(* &quot;-&quot;??_);_(@_)">
                  <c:v>6427.8477142857146</c:v>
                </c:pt>
                <c:pt idx="12" formatCode="_(* #,##0_);_(* \(#,##0\);_(* &quot;-&quot;??_);_(@_)">
                  <c:v>6372.8481428571422</c:v>
                </c:pt>
                <c:pt idx="13" formatCode="_(* #,##0_);_(* \(#,##0\);_(* &quot;-&quot;??_);_(@_)">
                  <c:v>6380.3321428571435</c:v>
                </c:pt>
                <c:pt idx="14" formatCode="_(* #,##0_);_(* \(#,##0\);_(* &quot;-&quot;??_);_(@_)">
                  <c:v>6856.4432857142865</c:v>
                </c:pt>
                <c:pt idx="15" formatCode="_(* #,##0_);_(* \(#,##0\);_(* &quot;-&quot;??_);_(@_)">
                  <c:v>6903.8310000000001</c:v>
                </c:pt>
                <c:pt idx="16" formatCode="_(* #,##0_);_(* \(#,##0\);_(* &quot;-&quot;??_);_(@_)">
                  <c:v>7272.5495714285707</c:v>
                </c:pt>
                <c:pt idx="17" formatCode="_(* #,##0_);_(* \(#,##0\);_(* &quot;-&quot;??_);_(@_)">
                  <c:v>6819.9595714285724</c:v>
                </c:pt>
                <c:pt idx="18" formatCode="_(* #,##0_);_(* \(#,##0\);_(* &quot;-&quot;??_);_(@_)">
                  <c:v>6466.4108571428578</c:v>
                </c:pt>
                <c:pt idx="19" formatCode="_(* #,##0_);_(* \(#,##0\);_(* &quot;-&quot;??_);_(@_)">
                  <c:v>6031.3927142857146</c:v>
                </c:pt>
                <c:pt idx="20" formatCode="_(* #,##0_);_(* \(#,##0\);_(* &quot;-&quot;??_);_(@_)">
                  <c:v>5667.8622857142855</c:v>
                </c:pt>
                <c:pt idx="21" formatCode="_(* #,##0_);_(* \(#,##0\);_(* &quot;-&quot;??_);_(@_)">
                  <c:v>5417.5735714285711</c:v>
                </c:pt>
                <c:pt idx="22" formatCode="_(* #,##0_);_(* \(#,##0\);_(* &quot;-&quot;??_);_(@_)">
                  <c:v>4656.7658571428574</c:v>
                </c:pt>
                <c:pt idx="23" formatCode="_(* #,##0_);_(* \(#,##0\);_(* &quot;-&quot;??_);_(@_)">
                  <c:v>4206.7745714285711</c:v>
                </c:pt>
                <c:pt idx="24" formatCode="_(* #,##0_);_(* \(#,##0\);_(* &quot;-&quot;??_);_(@_)">
                  <c:v>4206.7745714285711</c:v>
                </c:pt>
                <c:pt idx="25" formatCode="_(* #,##0_);_(* \(#,##0\);_(* &quot;-&quot;??_);_(@_)">
                  <c:v>4206.7745714285711</c:v>
                </c:pt>
                <c:pt idx="26" formatCode="_(* #,##0_);_(* \(#,##0\);_(* &quot;-&quot;??_);_(@_)">
                  <c:v>4206.7745714285711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202608"/>
        <c:axId val="358203168"/>
      </c:scatterChart>
      <c:valAx>
        <c:axId val="358202608"/>
        <c:scaling>
          <c:orientation val="minMax"/>
        </c:scaling>
        <c:delete val="0"/>
        <c:axPos val="b"/>
        <c:title>
          <c:tx>
            <c:strRef>
              <c:f>LevelMAAnalysisPak!$R$10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03168"/>
        <c:crosses val="autoZero"/>
        <c:crossBetween val="midCat"/>
      </c:valAx>
      <c:valAx>
        <c:axId val="35820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0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Outliers!$F$2</c:f>
              <c:strCache>
                <c:ptCount val="1"/>
                <c:pt idx="0">
                  <c:v>Rental Income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Outliers!$F$3:$F$35</c:f>
              <c:numCache>
                <c:formatCode>_(* #,##0_);_(* \(#,##0\);_(* "-"??_);_(@_)</c:formatCode>
                <c:ptCount val="33"/>
                <c:pt idx="0">
                  <c:v>75.713783000000006</c:v>
                </c:pt>
                <c:pt idx="1">
                  <c:v>84.865061999999995</c:v>
                </c:pt>
                <c:pt idx="2">
                  <c:v>91.156329999999997</c:v>
                </c:pt>
                <c:pt idx="3">
                  <c:v>113.513166</c:v>
                </c:pt>
                <c:pt idx="4">
                  <c:v>114.34482</c:v>
                </c:pt>
                <c:pt idx="5">
                  <c:v>140.74942999999999</c:v>
                </c:pt>
                <c:pt idx="6">
                  <c:v>180.924441</c:v>
                </c:pt>
                <c:pt idx="7">
                  <c:v>188.42977500000001</c:v>
                </c:pt>
                <c:pt idx="8">
                  <c:v>202.431161</c:v>
                </c:pt>
                <c:pt idx="9">
                  <c:v>187.32831899999999</c:v>
                </c:pt>
                <c:pt idx="10">
                  <c:v>207.41287199999999</c:v>
                </c:pt>
                <c:pt idx="11">
                  <c:v>169.527095</c:v>
                </c:pt>
                <c:pt idx="12">
                  <c:v>157.86638400000001</c:v>
                </c:pt>
                <c:pt idx="13">
                  <c:v>161.76284000000001</c:v>
                </c:pt>
                <c:pt idx="14">
                  <c:v>132.81151199999999</c:v>
                </c:pt>
                <c:pt idx="15">
                  <c:v>126.530545</c:v>
                </c:pt>
                <c:pt idx="16">
                  <c:v>138.722981</c:v>
                </c:pt>
                <c:pt idx="17">
                  <c:v>142.96216799999999</c:v>
                </c:pt>
                <c:pt idx="18">
                  <c:v>151.38879700000001</c:v>
                </c:pt>
                <c:pt idx="19">
                  <c:v>114.25098199999999</c:v>
                </c:pt>
                <c:pt idx="20">
                  <c:v>138.916302</c:v>
                </c:pt>
                <c:pt idx="21">
                  <c:v>153.86925299999999</c:v>
                </c:pt>
                <c:pt idx="22">
                  <c:v>114.893687</c:v>
                </c:pt>
                <c:pt idx="23">
                  <c:v>108.56427499999999</c:v>
                </c:pt>
                <c:pt idx="24">
                  <c:v>107.737927</c:v>
                </c:pt>
                <c:pt idx="25">
                  <c:v>943.69427700000006</c:v>
                </c:pt>
                <c:pt idx="26">
                  <c:v>209.189168</c:v>
                </c:pt>
                <c:pt idx="27">
                  <c:v>211.27633499999999</c:v>
                </c:pt>
                <c:pt idx="28">
                  <c:v>256.80494199999998</c:v>
                </c:pt>
                <c:pt idx="29">
                  <c:v>255.433694</c:v>
                </c:pt>
                <c:pt idx="30">
                  <c:v>234.38808800000001</c:v>
                </c:pt>
                <c:pt idx="31">
                  <c:v>253.40296000000001</c:v>
                </c:pt>
                <c:pt idx="32">
                  <c:v>291.22457300000002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953136"/>
        <c:axId val="386953696"/>
      </c:scatterChart>
      <c:valAx>
        <c:axId val="386953136"/>
        <c:scaling>
          <c:orientation val="minMax"/>
          <c:max val="2013"/>
          <c:min val="19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953696"/>
        <c:crosses val="autoZero"/>
        <c:crossBetween val="midCat"/>
      </c:valAx>
      <c:valAx>
        <c:axId val="38695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953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LevelMAAnalysisPak!$AI$10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LevelMAAnalysisPak!$AI$11:$AI$39</c:f>
              <c:numCache>
                <c:formatCode>General</c:formatCode>
                <c:ptCount val="29"/>
                <c:pt idx="2" formatCode="_(* #,##0_);_(* \(#,##0\);_(* &quot;-&quot;??_);_(@_)">
                  <c:v>7467.5839999999998</c:v>
                </c:pt>
                <c:pt idx="3" formatCode="_(* #,##0_);_(* \(#,##0\);_(* &quot;-&quot;??_);_(@_)">
                  <c:v>7356.05</c:v>
                </c:pt>
                <c:pt idx="4" formatCode="_(* #,##0_);_(* \(#,##0\);_(* &quot;-&quot;??_);_(@_)">
                  <c:v>6771.0439999999999</c:v>
                </c:pt>
                <c:pt idx="5" formatCode="_(* #,##0_);_(* \(#,##0\);_(* &quot;-&quot;??_);_(@_)">
                  <c:v>8737.9580000000005</c:v>
                </c:pt>
                <c:pt idx="6" formatCode="_(* #,##0_);_(* \(#,##0\);_(* &quot;-&quot;??_);_(@_)">
                  <c:v>7907.0439999999999</c:v>
                </c:pt>
                <c:pt idx="7" formatCode="_(* #,##0_);_(* \(#,##0\);_(* &quot;-&quot;??_);_(@_)">
                  <c:v>6674.6090000000004</c:v>
                </c:pt>
                <c:pt idx="8" formatCode="_(* #,##0_);_(* \(#,##0\);_(* &quot;-&quot;??_);_(@_)">
                  <c:v>2816.4569999999999</c:v>
                </c:pt>
                <c:pt idx="9" formatCode="_(* #,##0_);_(* \(#,##0\);_(* &quot;-&quot;??_);_(@_)">
                  <c:v>8425.0130000000008</c:v>
                </c:pt>
                <c:pt idx="10" formatCode="_(* #,##0_);_(* \(#,##0\);_(* &quot;-&quot;??_);_(@_)">
                  <c:v>4454.1350000000002</c:v>
                </c:pt>
                <c:pt idx="11" formatCode="_(* #,##0_);_(* \(#,##0\);_(* &quot;-&quot;??_);_(@_)">
                  <c:v>8887.7690000000002</c:v>
                </c:pt>
                <c:pt idx="12" formatCode="_(* #,##0_);_(* \(#,##0\);_(* &quot;-&quot;??_);_(@_)">
                  <c:v>5829.9070000000002</c:v>
                </c:pt>
                <c:pt idx="13" formatCode="_(* #,##0_);_(* \(#,##0\);_(* &quot;-&quot;??_);_(@_)">
                  <c:v>7522.0469999999996</c:v>
                </c:pt>
                <c:pt idx="14" formatCode="_(* #,##0_);_(* \(#,##0\);_(* &quot;-&quot;??_);_(@_)">
                  <c:v>6726.9970000000003</c:v>
                </c:pt>
                <c:pt idx="15" formatCode="_(* #,##0_);_(* \(#,##0\);_(* &quot;-&quot;??_);_(@_)">
                  <c:v>6149.2349999999997</c:v>
                </c:pt>
                <c:pt idx="16" formatCode="_(* #,##0_);_(* \(#,##0\);_(* &quot;-&quot;??_);_(@_)">
                  <c:v>8756.7270000000008</c:v>
                </c:pt>
                <c:pt idx="17" formatCode="_(* #,##0_);_(* \(#,##0\);_(* &quot;-&quot;??_);_(@_)">
                  <c:v>7035.165</c:v>
                </c:pt>
                <c:pt idx="18" formatCode="_(* #,##0_);_(* \(#,##0\);_(* &quot;-&quot;??_);_(@_)">
                  <c:v>5719.6390000000001</c:v>
                </c:pt>
                <c:pt idx="19" formatCode="_(* #,##0_);_(* \(#,##0\);_(* &quot;-&quot;??_);_(@_)">
                  <c:v>3355.0659999999998</c:v>
                </c:pt>
                <c:pt idx="20" formatCode="_(* #,##0_);_(* \(#,##0\);_(* &quot;-&quot;??_);_(@_)">
                  <c:v>4476.92</c:v>
                </c:pt>
                <c:pt idx="21" formatCode="_(* #,##0_);_(* \(#,##0\);_(* &quot;-&quot;??_);_(@_)">
                  <c:v>4182.2839999999997</c:v>
                </c:pt>
                <c:pt idx="22" formatCode="_(* #,##0_);_(* \(#,##0\);_(* &quot;-&quot;??_);_(@_)">
                  <c:v>4397.2139999999999</c:v>
                </c:pt>
                <c:pt idx="23" formatCode="_(* #,##0_);_(* \(#,##0\);_(* &quot;-&quot;??_);_(@_)">
                  <c:v>3431.0729999999999</c:v>
                </c:pt>
                <c:pt idx="24" formatCode="_(* #,##0_);_(* \(#,##0\);_(* &quot;-&quot;??_);_(@_)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LevelMAAnalysisPak!$AK$10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LevelMAAnalysisPak!$AK$11:$AK$39</c:f>
              <c:numCache>
                <c:formatCode>General</c:formatCode>
                <c:ptCount val="29"/>
                <c:pt idx="5" formatCode="_(* #,##0_);_(* \(#,##0\);_(* &quot;-&quot;??_);_(@_)">
                  <c:v>7198.2259999999997</c:v>
                </c:pt>
                <c:pt idx="6" formatCode="_(* #,##0_);_(* \(#,##0\);_(* &quot;-&quot;??_);_(@_)">
                  <c:v>7583.1589999999997</c:v>
                </c:pt>
                <c:pt idx="7" formatCode="_(* #,##0_);_(* \(#,##0\);_(* &quot;-&quot;??_);_(@_)">
                  <c:v>7693.0240000000013</c:v>
                </c:pt>
                <c:pt idx="8" formatCode="_(* #,##0_);_(* \(#,##0\);_(* &quot;-&quot;??_);_(@_)">
                  <c:v>7522.6637500000006</c:v>
                </c:pt>
                <c:pt idx="9" formatCode="_(* #,##0_);_(* \(#,##0\);_(* &quot;-&quot;??_);_(@_)">
                  <c:v>6534.0169999999998</c:v>
                </c:pt>
                <c:pt idx="10" formatCode="_(* #,##0_);_(* \(#,##0\);_(* &quot;-&quot;??_);_(@_)">
                  <c:v>6455.7807499999999</c:v>
                </c:pt>
                <c:pt idx="11" formatCode="_(* #,##0_);_(* \(#,##0\);_(* &quot;-&quot;??_);_(@_)">
                  <c:v>5592.5535</c:v>
                </c:pt>
                <c:pt idx="12" formatCode="_(* #,##0_);_(* \(#,##0\);_(* &quot;-&quot;??_);_(@_)">
                  <c:v>6145.8435000000009</c:v>
                </c:pt>
                <c:pt idx="13" formatCode="_(* #,##0_);_(* \(#,##0\);_(* &quot;-&quot;??_);_(@_)">
                  <c:v>6899.2060000000001</c:v>
                </c:pt>
                <c:pt idx="14" formatCode="_(* #,##0_);_(* \(#,##0\);_(* &quot;-&quot;??_);_(@_)">
                  <c:v>6673.4645</c:v>
                </c:pt>
                <c:pt idx="15" formatCode="_(* #,##0_);_(* \(#,##0\);_(* &quot;-&quot;??_);_(@_)">
                  <c:v>7241.6799999999994</c:v>
                </c:pt>
                <c:pt idx="16" formatCode="_(* #,##0_);_(* \(#,##0\);_(* &quot;-&quot;??_);_(@_)">
                  <c:v>6557.0465000000004</c:v>
                </c:pt>
                <c:pt idx="17" formatCode="_(* #,##0_);_(* \(#,##0\);_(* &quot;-&quot;??_);_(@_)">
                  <c:v>7288.7515000000003</c:v>
                </c:pt>
                <c:pt idx="18" formatCode="_(* #,##0_);_(* \(#,##0\);_(* &quot;-&quot;??_);_(@_)">
                  <c:v>7167.0310000000009</c:v>
                </c:pt>
                <c:pt idx="19" formatCode="_(* #,##0_);_(* \(#,##0\);_(* &quot;-&quot;??_);_(@_)">
                  <c:v>6915.1914999999999</c:v>
                </c:pt>
                <c:pt idx="20" formatCode="_(* #,##0_);_(* \(#,##0\);_(* &quot;-&quot;??_);_(@_)">
                  <c:v>6216.6492499999995</c:v>
                </c:pt>
                <c:pt idx="21" formatCode="_(* #,##0_);_(* \(#,##0\);_(* &quot;-&quot;??_);_(@_)">
                  <c:v>5146.6975000000002</c:v>
                </c:pt>
                <c:pt idx="22" formatCode="_(* #,##0_);_(* \(#,##0\);_(* &quot;-&quot;??_);_(@_)">
                  <c:v>4433.4772499999999</c:v>
                </c:pt>
                <c:pt idx="23" formatCode="_(* #,##0_);_(* \(#,##0\);_(* &quot;-&quot;??_);_(@_)">
                  <c:v>4102.8710000000001</c:v>
                </c:pt>
                <c:pt idx="24" formatCode="_(* #,##0_);_(* \(#,##0\);_(* &quot;-&quot;??_);_(@_)">
                  <c:v>4121.8727499999995</c:v>
                </c:pt>
                <c:pt idx="25" formatCode="_(* #,##0_);_(* \(#,##0\);_(* &quot;-&quot;??_);_(@_)">
                  <c:v>3973.9492500000001</c:v>
                </c:pt>
                <c:pt idx="26" formatCode="_(* #,##0_);_(* \(#,##0\);_(* &quot;-&quot;??_);_(@_)">
                  <c:v>3973.9492500000001</c:v>
                </c:pt>
                <c:pt idx="27" formatCode="_(* #,##0_);_(* \(#,##0\);_(* &quot;-&quot;??_);_(@_)">
                  <c:v>3973.9492500000001</c:v>
                </c:pt>
                <c:pt idx="28" formatCode="_(* #,##0_);_(* \(#,##0\);_(* &quot;-&quot;??_);_(@_)">
                  <c:v>3973.9492500000001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318448"/>
        <c:axId val="362319008"/>
      </c:scatterChart>
      <c:valAx>
        <c:axId val="362318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319008"/>
        <c:crosses val="autoZero"/>
        <c:crossBetween val="midCat"/>
      </c:valAx>
      <c:valAx>
        <c:axId val="36231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31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LevelMAAnalysisPak!$F$2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LevelMAAnalysisPak!$F$3:$F$35</c:f>
              <c:numCache>
                <c:formatCode>_(* #,##0_);_(* \(#,##0\);_(* "-"??_);_(@_)</c:formatCode>
                <c:ptCount val="33"/>
                <c:pt idx="0">
                  <c:v>2.1588560000000001</c:v>
                </c:pt>
                <c:pt idx="1">
                  <c:v>2.6369919999999998</c:v>
                </c:pt>
                <c:pt idx="2">
                  <c:v>2.841888</c:v>
                </c:pt>
                <c:pt idx="3">
                  <c:v>2.4732080000000001</c:v>
                </c:pt>
                <c:pt idx="4">
                  <c:v>4.8257649999999996</c:v>
                </c:pt>
                <c:pt idx="5">
                  <c:v>3.0165950000000001</c:v>
                </c:pt>
                <c:pt idx="6">
                  <c:v>4.4816729999999998</c:v>
                </c:pt>
                <c:pt idx="7">
                  <c:v>7.0281729999999998</c:v>
                </c:pt>
                <c:pt idx="8">
                  <c:v>11.573762</c:v>
                </c:pt>
                <c:pt idx="9">
                  <c:v>9.9437689999999996</c:v>
                </c:pt>
                <c:pt idx="10">
                  <c:v>7.4675840000000004</c:v>
                </c:pt>
                <c:pt idx="11">
                  <c:v>7.3560499999999998</c:v>
                </c:pt>
                <c:pt idx="12">
                  <c:v>6.7710439999999998</c:v>
                </c:pt>
                <c:pt idx="13">
                  <c:v>8.7379580000000008</c:v>
                </c:pt>
                <c:pt idx="14">
                  <c:v>7.907044</c:v>
                </c:pt>
                <c:pt idx="15">
                  <c:v>6.6746090000000002</c:v>
                </c:pt>
                <c:pt idx="16">
                  <c:v>2.8164570000000002</c:v>
                </c:pt>
                <c:pt idx="17">
                  <c:v>8.4250129999999999</c:v>
                </c:pt>
                <c:pt idx="18">
                  <c:v>4.454135</c:v>
                </c:pt>
                <c:pt idx="19">
                  <c:v>8.8877690000000005</c:v>
                </c:pt>
                <c:pt idx="20">
                  <c:v>5.8299070000000004</c:v>
                </c:pt>
                <c:pt idx="21">
                  <c:v>7.5220469999999997</c:v>
                </c:pt>
                <c:pt idx="22">
                  <c:v>6.7269969999999999</c:v>
                </c:pt>
                <c:pt idx="23">
                  <c:v>6.149235</c:v>
                </c:pt>
                <c:pt idx="24">
                  <c:v>8.7567269999999997</c:v>
                </c:pt>
                <c:pt idx="25">
                  <c:v>7.0351650000000001</c:v>
                </c:pt>
                <c:pt idx="26">
                  <c:v>5.7196389999999999</c:v>
                </c:pt>
                <c:pt idx="27">
                  <c:v>3.3550659999999999</c:v>
                </c:pt>
                <c:pt idx="28">
                  <c:v>4.4769199999999998</c:v>
                </c:pt>
                <c:pt idx="29">
                  <c:v>4.1822840000000001</c:v>
                </c:pt>
                <c:pt idx="30">
                  <c:v>4.397214</c:v>
                </c:pt>
                <c:pt idx="31">
                  <c:v>3.431073</c:v>
                </c:pt>
                <c:pt idx="32">
                  <c:v>3.8852259999999998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LevelMAAnalysisPak!$F$2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LevelMAAnalysisPak!$F$3:$F$35</c:f>
              <c:numCache>
                <c:formatCode>_(* #,##0_);_(* \(#,##0\);_(* "-"??_);_(@_)</c:formatCode>
                <c:ptCount val="33"/>
                <c:pt idx="0">
                  <c:v>2.1588560000000001</c:v>
                </c:pt>
                <c:pt idx="1">
                  <c:v>2.6369919999999998</c:v>
                </c:pt>
                <c:pt idx="2">
                  <c:v>2.841888</c:v>
                </c:pt>
                <c:pt idx="3">
                  <c:v>2.4732080000000001</c:v>
                </c:pt>
                <c:pt idx="4">
                  <c:v>4.8257649999999996</c:v>
                </c:pt>
                <c:pt idx="5">
                  <c:v>3.0165950000000001</c:v>
                </c:pt>
                <c:pt idx="6">
                  <c:v>4.4816729999999998</c:v>
                </c:pt>
                <c:pt idx="7">
                  <c:v>7.0281729999999998</c:v>
                </c:pt>
                <c:pt idx="8">
                  <c:v>11.573762</c:v>
                </c:pt>
                <c:pt idx="9">
                  <c:v>9.9437689999999996</c:v>
                </c:pt>
                <c:pt idx="10">
                  <c:v>7.4675840000000004</c:v>
                </c:pt>
                <c:pt idx="11">
                  <c:v>7.3560499999999998</c:v>
                </c:pt>
                <c:pt idx="12">
                  <c:v>6.7710439999999998</c:v>
                </c:pt>
                <c:pt idx="13">
                  <c:v>8.7379580000000008</c:v>
                </c:pt>
                <c:pt idx="14">
                  <c:v>7.907044</c:v>
                </c:pt>
                <c:pt idx="15">
                  <c:v>6.6746090000000002</c:v>
                </c:pt>
                <c:pt idx="16">
                  <c:v>2.8164570000000002</c:v>
                </c:pt>
                <c:pt idx="17">
                  <c:v>8.4250129999999999</c:v>
                </c:pt>
                <c:pt idx="18">
                  <c:v>4.454135</c:v>
                </c:pt>
                <c:pt idx="19">
                  <c:v>8.8877690000000005</c:v>
                </c:pt>
                <c:pt idx="20">
                  <c:v>5.8299070000000004</c:v>
                </c:pt>
                <c:pt idx="21">
                  <c:v>7.5220469999999997</c:v>
                </c:pt>
                <c:pt idx="22">
                  <c:v>6.7269969999999999</c:v>
                </c:pt>
                <c:pt idx="23">
                  <c:v>6.149235</c:v>
                </c:pt>
                <c:pt idx="24">
                  <c:v>8.7567269999999997</c:v>
                </c:pt>
                <c:pt idx="25">
                  <c:v>7.0351650000000001</c:v>
                </c:pt>
                <c:pt idx="26">
                  <c:v>5.7196389999999999</c:v>
                </c:pt>
                <c:pt idx="27">
                  <c:v>3.3550659999999999</c:v>
                </c:pt>
                <c:pt idx="28">
                  <c:v>4.4769199999999998</c:v>
                </c:pt>
                <c:pt idx="29">
                  <c:v>4.1822840000000001</c:v>
                </c:pt>
                <c:pt idx="30">
                  <c:v>4.397214</c:v>
                </c:pt>
                <c:pt idx="31">
                  <c:v>3.431073</c:v>
                </c:pt>
                <c:pt idx="32">
                  <c:v>3.8852259999999998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343296"/>
        <c:axId val="367343856"/>
      </c:scatterChart>
      <c:valAx>
        <c:axId val="367343296"/>
        <c:scaling>
          <c:orientation val="minMax"/>
          <c:max val="2013"/>
          <c:min val="1980"/>
        </c:scaling>
        <c:delete val="0"/>
        <c:axPos val="b"/>
        <c:title>
          <c:tx>
            <c:strRef>
              <c:f>LevelMAAnalysisPak!$E$2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43856"/>
        <c:crosses val="autoZero"/>
        <c:crossBetween val="midCat"/>
      </c:valAx>
      <c:valAx>
        <c:axId val="36734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LevelMAAnalysisPak!$F$1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4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LevelMAAnalysisPak!$S$10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LevelMAAnalysisPak!$S$13:$S$39</c:f>
              <c:numCache>
                <c:formatCode>_(* #,##0_);_(* \(#,##0\);_(* "-"??_);_(@_)</c:formatCode>
                <c:ptCount val="27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LevelMAAnalysisPak!$U$10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LevelMAAnalysisPak!$U$13:$U$39</c:f>
              <c:numCache>
                <c:formatCode>General</c:formatCode>
                <c:ptCount val="27"/>
                <c:pt idx="7" formatCode="_(* #,##0_);_(* \(#,##0\);_(* &quot;-&quot;??_);_(@_)">
                  <c:v>6818.6780000000008</c:v>
                </c:pt>
                <c:pt idx="8" formatCode="_(* #,##0_);_(* \(#,##0\);_(* &quot;-&quot;??_);_(@_)">
                  <c:v>6955.4535714285721</c:v>
                </c:pt>
                <c:pt idx="9" formatCode="_(* #,##0_);_(* \(#,##0\);_(* &quot;-&quot;??_);_(@_)">
                  <c:v>6540.8942857142856</c:v>
                </c:pt>
                <c:pt idx="10" formatCode="_(* #,##0_);_(* \(#,##0\);_(* &quot;-&quot;??_);_(@_)">
                  <c:v>6843.2835714285711</c:v>
                </c:pt>
                <c:pt idx="11" formatCode="_(* #,##0_);_(* \(#,##0\);_(* &quot;-&quot;??_);_(@_)">
                  <c:v>6427.8477142857146</c:v>
                </c:pt>
                <c:pt idx="12" formatCode="_(* #,##0_);_(* \(#,##0\);_(* &quot;-&quot;??_);_(@_)">
                  <c:v>6372.8481428571422</c:v>
                </c:pt>
                <c:pt idx="13" formatCode="_(* #,##0_);_(* \(#,##0\);_(* &quot;-&quot;??_);_(@_)">
                  <c:v>6380.3321428571435</c:v>
                </c:pt>
                <c:pt idx="14" formatCode="_(* #,##0_);_(* \(#,##0\);_(* &quot;-&quot;??_);_(@_)">
                  <c:v>6856.4432857142865</c:v>
                </c:pt>
                <c:pt idx="15" formatCode="_(* #,##0_);_(* \(#,##0\);_(* &quot;-&quot;??_);_(@_)">
                  <c:v>6903.8310000000001</c:v>
                </c:pt>
                <c:pt idx="16" formatCode="_(* #,##0_);_(* \(#,##0\);_(* &quot;-&quot;??_);_(@_)">
                  <c:v>7272.5495714285707</c:v>
                </c:pt>
                <c:pt idx="17" formatCode="_(* #,##0_);_(* \(#,##0\);_(* &quot;-&quot;??_);_(@_)">
                  <c:v>6819.9595714285724</c:v>
                </c:pt>
                <c:pt idx="18" formatCode="_(* #,##0_);_(* \(#,##0\);_(* &quot;-&quot;??_);_(@_)">
                  <c:v>6466.4108571428578</c:v>
                </c:pt>
                <c:pt idx="19" formatCode="_(* #,##0_);_(* \(#,##0\);_(* &quot;-&quot;??_);_(@_)">
                  <c:v>6031.3927142857146</c:v>
                </c:pt>
                <c:pt idx="20" formatCode="_(* #,##0_);_(* \(#,##0\);_(* &quot;-&quot;??_);_(@_)">
                  <c:v>5667.8622857142855</c:v>
                </c:pt>
                <c:pt idx="21" formatCode="_(* #,##0_);_(* \(#,##0\);_(* &quot;-&quot;??_);_(@_)">
                  <c:v>5417.5735714285711</c:v>
                </c:pt>
                <c:pt idx="22" formatCode="_(* #,##0_);_(* \(#,##0\);_(* &quot;-&quot;??_);_(@_)">
                  <c:v>4656.7658571428574</c:v>
                </c:pt>
                <c:pt idx="23" formatCode="_(* #,##0_);_(* \(#,##0\);_(* &quot;-&quot;??_);_(@_)">
                  <c:v>4206.7745714285711</c:v>
                </c:pt>
                <c:pt idx="24" formatCode="_(* #,##0_);_(* \(#,##0\);_(* &quot;-&quot;??_);_(@_)">
                  <c:v>4206.7745714285711</c:v>
                </c:pt>
                <c:pt idx="25" formatCode="_(* #,##0_);_(* \(#,##0\);_(* &quot;-&quot;??_);_(@_)">
                  <c:v>4206.7745714285711</c:v>
                </c:pt>
                <c:pt idx="26" formatCode="_(* #,##0_);_(* \(#,##0\);_(* &quot;-&quot;??_);_(@_)">
                  <c:v>4206.7745714285711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347216"/>
        <c:axId val="367347776"/>
      </c:scatterChart>
      <c:valAx>
        <c:axId val="367347216"/>
        <c:scaling>
          <c:orientation val="minMax"/>
        </c:scaling>
        <c:delete val="0"/>
        <c:axPos val="b"/>
        <c:title>
          <c:tx>
            <c:strRef>
              <c:f>LevelMAAnalysisPak!$R$10</c:f>
              <c:strCache>
                <c:ptCount val="1"/>
                <c:pt idx="0">
                  <c:v>Year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47776"/>
        <c:crosses val="autoZero"/>
        <c:crossBetween val="midCat"/>
      </c:valAx>
      <c:valAx>
        <c:axId val="36734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47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LevelMAAnalysisPak!$AA$10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LevelMAAnalysisPak!$Z$11:$Z$39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LevelMAAnalysisPak!$AA$11:$AA$39</c:f>
              <c:numCache>
                <c:formatCode>General</c:formatCode>
                <c:ptCount val="29"/>
                <c:pt idx="2" formatCode="_(* #,##0_);_(* \(#,##0\);_(* &quot;-&quot;??_);_(@_)">
                  <c:v>7467.5839999999998</c:v>
                </c:pt>
                <c:pt idx="3" formatCode="_(* #,##0_);_(* \(#,##0\);_(* &quot;-&quot;??_);_(@_)">
                  <c:v>7356.05</c:v>
                </c:pt>
                <c:pt idx="4" formatCode="_(* #,##0_);_(* \(#,##0\);_(* &quot;-&quot;??_);_(@_)">
                  <c:v>6771.0439999999999</c:v>
                </c:pt>
                <c:pt idx="5" formatCode="_(* #,##0_);_(* \(#,##0\);_(* &quot;-&quot;??_);_(@_)">
                  <c:v>8737.9580000000005</c:v>
                </c:pt>
                <c:pt idx="6" formatCode="_(* #,##0_);_(* \(#,##0\);_(* &quot;-&quot;??_);_(@_)">
                  <c:v>7907.0439999999999</c:v>
                </c:pt>
                <c:pt idx="7" formatCode="_(* #,##0_);_(* \(#,##0\);_(* &quot;-&quot;??_);_(@_)">
                  <c:v>6674.6090000000004</c:v>
                </c:pt>
                <c:pt idx="8" formatCode="_(* #,##0_);_(* \(#,##0\);_(* &quot;-&quot;??_);_(@_)">
                  <c:v>2816.4569999999999</c:v>
                </c:pt>
                <c:pt idx="9" formatCode="_(* #,##0_);_(* \(#,##0\);_(* &quot;-&quot;??_);_(@_)">
                  <c:v>8425.0130000000008</c:v>
                </c:pt>
                <c:pt idx="10" formatCode="_(* #,##0_);_(* \(#,##0\);_(* &quot;-&quot;??_);_(@_)">
                  <c:v>4454.1350000000002</c:v>
                </c:pt>
                <c:pt idx="11" formatCode="_(* #,##0_);_(* \(#,##0\);_(* &quot;-&quot;??_);_(@_)">
                  <c:v>8887.7690000000002</c:v>
                </c:pt>
                <c:pt idx="12" formatCode="_(* #,##0_);_(* \(#,##0\);_(* &quot;-&quot;??_);_(@_)">
                  <c:v>5829.9070000000002</c:v>
                </c:pt>
                <c:pt idx="13" formatCode="_(* #,##0_);_(* \(#,##0\);_(* &quot;-&quot;??_);_(@_)">
                  <c:v>7522.0469999999996</c:v>
                </c:pt>
                <c:pt idx="14" formatCode="_(* #,##0_);_(* \(#,##0\);_(* &quot;-&quot;??_);_(@_)">
                  <c:v>6726.9970000000003</c:v>
                </c:pt>
                <c:pt idx="15" formatCode="_(* #,##0_);_(* \(#,##0\);_(* &quot;-&quot;??_);_(@_)">
                  <c:v>6149.2349999999997</c:v>
                </c:pt>
                <c:pt idx="16" formatCode="_(* #,##0_);_(* \(#,##0\);_(* &quot;-&quot;??_);_(@_)">
                  <c:v>8756.7270000000008</c:v>
                </c:pt>
                <c:pt idx="17" formatCode="_(* #,##0_);_(* \(#,##0\);_(* &quot;-&quot;??_);_(@_)">
                  <c:v>7035.165</c:v>
                </c:pt>
                <c:pt idx="18" formatCode="_(* #,##0_);_(* \(#,##0\);_(* &quot;-&quot;??_);_(@_)">
                  <c:v>5719.6390000000001</c:v>
                </c:pt>
                <c:pt idx="19" formatCode="_(* #,##0_);_(* \(#,##0\);_(* &quot;-&quot;??_);_(@_)">
                  <c:v>3355.0659999999998</c:v>
                </c:pt>
                <c:pt idx="20" formatCode="_(* #,##0_);_(* \(#,##0\);_(* &quot;-&quot;??_);_(@_)">
                  <c:v>4476.92</c:v>
                </c:pt>
                <c:pt idx="21" formatCode="_(* #,##0_);_(* \(#,##0\);_(* &quot;-&quot;??_);_(@_)">
                  <c:v>4182.2839999999997</c:v>
                </c:pt>
                <c:pt idx="22" formatCode="_(* #,##0_);_(* \(#,##0\);_(* &quot;-&quot;??_);_(@_)">
                  <c:v>4397.2139999999999</c:v>
                </c:pt>
                <c:pt idx="23" formatCode="_(* #,##0_);_(* \(#,##0\);_(* &quot;-&quot;??_);_(@_)">
                  <c:v>3431.0729999999999</c:v>
                </c:pt>
                <c:pt idx="24" formatCode="_(* #,##0_);_(* \(#,##0\);_(* &quot;-&quot;??_);_(@_)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LevelMAAnalysisPak!$AC$10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LevelMAAnalysisPak!$Z$11:$Z$39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LevelMAAnalysisPak!$AC$11:$AC$39</c:f>
              <c:numCache>
                <c:formatCode>General</c:formatCode>
                <c:ptCount val="29"/>
                <c:pt idx="7" formatCode="_(* #,##0_);_(* \(#,##0\);_(* &quot;-&quot;??_);_(@_)">
                  <c:v>7647.9359999999997</c:v>
                </c:pt>
                <c:pt idx="8" formatCode="_(* #,##0_);_(* \(#,##0\);_(* &quot;-&quot;??_);_(@_)">
                  <c:v>7489.3410000000003</c:v>
                </c:pt>
                <c:pt idx="9" formatCode="_(* #,##0_);_(* \(#,##0\);_(* &quot;-&quot;??_);_(@_)">
                  <c:v>6581.4224000000004</c:v>
                </c:pt>
                <c:pt idx="10" formatCode="_(* #,##0_);_(* \(#,##0\);_(* &quot;-&quot;??_);_(@_)">
                  <c:v>6912.2161999999998</c:v>
                </c:pt>
                <c:pt idx="11" formatCode="_(* #,##0_);_(* \(#,##0\);_(* &quot;-&quot;??_);_(@_)">
                  <c:v>6055.4516000000003</c:v>
                </c:pt>
                <c:pt idx="12" formatCode="_(* #,##0_);_(* \(#,##0\);_(* &quot;-&quot;??_);_(@_)">
                  <c:v>6251.5965999999999</c:v>
                </c:pt>
                <c:pt idx="13" formatCode="_(* #,##0_);_(* \(#,##0\);_(* &quot;-&quot;??_);_(@_)">
                  <c:v>6082.6562000000004</c:v>
                </c:pt>
                <c:pt idx="14" formatCode="_(* #,##0_);_(* \(#,##0\);_(* &quot;-&quot;??_);_(@_)">
                  <c:v>7023.7741999999998</c:v>
                </c:pt>
                <c:pt idx="15" formatCode="_(* #,##0_);_(* \(#,##0\);_(* &quot;-&quot;??_);_(@_)">
                  <c:v>6684.1710000000003</c:v>
                </c:pt>
                <c:pt idx="16" formatCode="_(* #,##0_);_(* \(#,##0\);_(* &quot;-&quot;??_);_(@_)">
                  <c:v>7023.1909999999989</c:v>
                </c:pt>
                <c:pt idx="17" formatCode="_(* #,##0_);_(* \(#,##0\);_(* &quot;-&quot;??_);_(@_)">
                  <c:v>6996.9826000000003</c:v>
                </c:pt>
                <c:pt idx="18" formatCode="_(* #,##0_);_(* \(#,##0\);_(* &quot;-&quot;??_);_(@_)">
                  <c:v>7238.0342000000001</c:v>
                </c:pt>
                <c:pt idx="19" formatCode="_(* #,##0_);_(* \(#,##0\);_(* &quot;-&quot;??_);_(@_)">
                  <c:v>6877.5526000000009</c:v>
                </c:pt>
                <c:pt idx="20" formatCode="_(* #,##0_);_(* \(#,##0\);_(* &quot;-&quot;??_);_(@_)">
                  <c:v>6203.1664000000001</c:v>
                </c:pt>
                <c:pt idx="21" formatCode="_(* #,##0_);_(* \(#,##0\);_(* &quot;-&quot;??_);_(@_)">
                  <c:v>5868.7034000000003</c:v>
                </c:pt>
                <c:pt idx="22" formatCode="_(* #,##0_);_(* \(#,##0\);_(* &quot;-&quot;??_);_(@_)">
                  <c:v>4953.8148000000001</c:v>
                </c:pt>
                <c:pt idx="23" formatCode="_(* #,##0_);_(* \(#,##0\);_(* &quot;-&quot;??_);_(@_)">
                  <c:v>4426.2245999999996</c:v>
                </c:pt>
                <c:pt idx="24" formatCode="_(* #,##0_);_(* \(#,##0\);_(* &quot;-&quot;??_);_(@_)">
                  <c:v>3968.5114000000003</c:v>
                </c:pt>
                <c:pt idx="25" formatCode="_(* #,##0_);_(* \(#,##0\);_(* &quot;-&quot;??_);_(@_)">
                  <c:v>4074.5433999999996</c:v>
                </c:pt>
                <c:pt idx="26" formatCode="_(* #,##0_);_(* \(#,##0\);_(* &quot;-&quot;??_);_(@_)">
                  <c:v>4074.5433999999996</c:v>
                </c:pt>
                <c:pt idx="27" formatCode="_(* #,##0_);_(* \(#,##0\);_(* &quot;-&quot;??_);_(@_)">
                  <c:v>4074.5433999999996</c:v>
                </c:pt>
                <c:pt idx="28" formatCode="_(* #,##0_);_(* \(#,##0\);_(* &quot;-&quot;??_);_(@_)">
                  <c:v>4074.5433999999996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865136"/>
        <c:axId val="372865696"/>
      </c:scatterChart>
      <c:valAx>
        <c:axId val="372865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65696"/>
        <c:crosses val="autoZero"/>
        <c:crossBetween val="midCat"/>
      </c:valAx>
      <c:valAx>
        <c:axId val="37286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6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LevelMAAnalysisPak!$AI$10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LevelMAAnalysisPak!$AH$11:$AH$39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LevelMAAnalysisPak!$AI$11:$AI$39</c:f>
              <c:numCache>
                <c:formatCode>General</c:formatCode>
                <c:ptCount val="29"/>
                <c:pt idx="2" formatCode="_(* #,##0_);_(* \(#,##0\);_(* &quot;-&quot;??_);_(@_)">
                  <c:v>7467.5839999999998</c:v>
                </c:pt>
                <c:pt idx="3" formatCode="_(* #,##0_);_(* \(#,##0\);_(* &quot;-&quot;??_);_(@_)">
                  <c:v>7356.05</c:v>
                </c:pt>
                <c:pt idx="4" formatCode="_(* #,##0_);_(* \(#,##0\);_(* &quot;-&quot;??_);_(@_)">
                  <c:v>6771.0439999999999</c:v>
                </c:pt>
                <c:pt idx="5" formatCode="_(* #,##0_);_(* \(#,##0\);_(* &quot;-&quot;??_);_(@_)">
                  <c:v>8737.9580000000005</c:v>
                </c:pt>
                <c:pt idx="6" formatCode="_(* #,##0_);_(* \(#,##0\);_(* &quot;-&quot;??_);_(@_)">
                  <c:v>7907.0439999999999</c:v>
                </c:pt>
                <c:pt idx="7" formatCode="_(* #,##0_);_(* \(#,##0\);_(* &quot;-&quot;??_);_(@_)">
                  <c:v>6674.6090000000004</c:v>
                </c:pt>
                <c:pt idx="8" formatCode="_(* #,##0_);_(* \(#,##0\);_(* &quot;-&quot;??_);_(@_)">
                  <c:v>2816.4569999999999</c:v>
                </c:pt>
                <c:pt idx="9" formatCode="_(* #,##0_);_(* \(#,##0\);_(* &quot;-&quot;??_);_(@_)">
                  <c:v>8425.0130000000008</c:v>
                </c:pt>
                <c:pt idx="10" formatCode="_(* #,##0_);_(* \(#,##0\);_(* &quot;-&quot;??_);_(@_)">
                  <c:v>4454.1350000000002</c:v>
                </c:pt>
                <c:pt idx="11" formatCode="_(* #,##0_);_(* \(#,##0\);_(* &quot;-&quot;??_);_(@_)">
                  <c:v>8887.7690000000002</c:v>
                </c:pt>
                <c:pt idx="12" formatCode="_(* #,##0_);_(* \(#,##0\);_(* &quot;-&quot;??_);_(@_)">
                  <c:v>5829.9070000000002</c:v>
                </c:pt>
                <c:pt idx="13" formatCode="_(* #,##0_);_(* \(#,##0\);_(* &quot;-&quot;??_);_(@_)">
                  <c:v>7522.0469999999996</c:v>
                </c:pt>
                <c:pt idx="14" formatCode="_(* #,##0_);_(* \(#,##0\);_(* &quot;-&quot;??_);_(@_)">
                  <c:v>6726.9970000000003</c:v>
                </c:pt>
                <c:pt idx="15" formatCode="_(* #,##0_);_(* \(#,##0\);_(* &quot;-&quot;??_);_(@_)">
                  <c:v>6149.2349999999997</c:v>
                </c:pt>
                <c:pt idx="16" formatCode="_(* #,##0_);_(* \(#,##0\);_(* &quot;-&quot;??_);_(@_)">
                  <c:v>8756.7270000000008</c:v>
                </c:pt>
                <c:pt idx="17" formatCode="_(* #,##0_);_(* \(#,##0\);_(* &quot;-&quot;??_);_(@_)">
                  <c:v>7035.165</c:v>
                </c:pt>
                <c:pt idx="18" formatCode="_(* #,##0_);_(* \(#,##0\);_(* &quot;-&quot;??_);_(@_)">
                  <c:v>5719.6390000000001</c:v>
                </c:pt>
                <c:pt idx="19" formatCode="_(* #,##0_);_(* \(#,##0\);_(* &quot;-&quot;??_);_(@_)">
                  <c:v>3355.0659999999998</c:v>
                </c:pt>
                <c:pt idx="20" formatCode="_(* #,##0_);_(* \(#,##0\);_(* &quot;-&quot;??_);_(@_)">
                  <c:v>4476.92</c:v>
                </c:pt>
                <c:pt idx="21" formatCode="_(* #,##0_);_(* \(#,##0\);_(* &quot;-&quot;??_);_(@_)">
                  <c:v>4182.2839999999997</c:v>
                </c:pt>
                <c:pt idx="22" formatCode="_(* #,##0_);_(* \(#,##0\);_(* &quot;-&quot;??_);_(@_)">
                  <c:v>4397.2139999999999</c:v>
                </c:pt>
                <c:pt idx="23" formatCode="_(* #,##0_);_(* \(#,##0\);_(* &quot;-&quot;??_);_(@_)">
                  <c:v>3431.0729999999999</c:v>
                </c:pt>
                <c:pt idx="24" formatCode="_(* #,##0_);_(* \(#,##0\);_(* &quot;-&quot;??_);_(@_)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LevelMAAnalysisPak!$AK$10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LevelMAAnalysisPak!$AH$11:$AH$39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LevelMAAnalysisPak!$AK$11:$AK$39</c:f>
              <c:numCache>
                <c:formatCode>General</c:formatCode>
                <c:ptCount val="29"/>
                <c:pt idx="5" formatCode="_(* #,##0_);_(* \(#,##0\);_(* &quot;-&quot;??_);_(@_)">
                  <c:v>7198.2259999999997</c:v>
                </c:pt>
                <c:pt idx="6" formatCode="_(* #,##0_);_(* \(#,##0\);_(* &quot;-&quot;??_);_(@_)">
                  <c:v>7583.1589999999997</c:v>
                </c:pt>
                <c:pt idx="7" formatCode="_(* #,##0_);_(* \(#,##0\);_(* &quot;-&quot;??_);_(@_)">
                  <c:v>7693.0240000000013</c:v>
                </c:pt>
                <c:pt idx="8" formatCode="_(* #,##0_);_(* \(#,##0\);_(* &quot;-&quot;??_);_(@_)">
                  <c:v>7522.6637500000006</c:v>
                </c:pt>
                <c:pt idx="9" formatCode="_(* #,##0_);_(* \(#,##0\);_(* &quot;-&quot;??_);_(@_)">
                  <c:v>6534.0169999999998</c:v>
                </c:pt>
                <c:pt idx="10" formatCode="_(* #,##0_);_(* \(#,##0\);_(* &quot;-&quot;??_);_(@_)">
                  <c:v>6455.7807499999999</c:v>
                </c:pt>
                <c:pt idx="11" formatCode="_(* #,##0_);_(* \(#,##0\);_(* &quot;-&quot;??_);_(@_)">
                  <c:v>5592.5535</c:v>
                </c:pt>
                <c:pt idx="12" formatCode="_(* #,##0_);_(* \(#,##0\);_(* &quot;-&quot;??_);_(@_)">
                  <c:v>6145.8435000000009</c:v>
                </c:pt>
                <c:pt idx="13" formatCode="_(* #,##0_);_(* \(#,##0\);_(* &quot;-&quot;??_);_(@_)">
                  <c:v>6899.2060000000001</c:v>
                </c:pt>
                <c:pt idx="14" formatCode="_(* #,##0_);_(* \(#,##0\);_(* &quot;-&quot;??_);_(@_)">
                  <c:v>6673.4645</c:v>
                </c:pt>
                <c:pt idx="15" formatCode="_(* #,##0_);_(* \(#,##0\);_(* &quot;-&quot;??_);_(@_)">
                  <c:v>7241.6799999999994</c:v>
                </c:pt>
                <c:pt idx="16" formatCode="_(* #,##0_);_(* \(#,##0\);_(* &quot;-&quot;??_);_(@_)">
                  <c:v>6557.0465000000004</c:v>
                </c:pt>
                <c:pt idx="17" formatCode="_(* #,##0_);_(* \(#,##0\);_(* &quot;-&quot;??_);_(@_)">
                  <c:v>7288.7515000000003</c:v>
                </c:pt>
                <c:pt idx="18" formatCode="_(* #,##0_);_(* \(#,##0\);_(* &quot;-&quot;??_);_(@_)">
                  <c:v>7167.0310000000009</c:v>
                </c:pt>
                <c:pt idx="19" formatCode="_(* #,##0_);_(* \(#,##0\);_(* &quot;-&quot;??_);_(@_)">
                  <c:v>6915.1914999999999</c:v>
                </c:pt>
                <c:pt idx="20" formatCode="_(* #,##0_);_(* \(#,##0\);_(* &quot;-&quot;??_);_(@_)">
                  <c:v>6216.6492499999995</c:v>
                </c:pt>
                <c:pt idx="21" formatCode="_(* #,##0_);_(* \(#,##0\);_(* &quot;-&quot;??_);_(@_)">
                  <c:v>5146.6975000000002</c:v>
                </c:pt>
                <c:pt idx="22" formatCode="_(* #,##0_);_(* \(#,##0\);_(* &quot;-&quot;??_);_(@_)">
                  <c:v>4433.4772499999999</c:v>
                </c:pt>
                <c:pt idx="23" formatCode="_(* #,##0_);_(* \(#,##0\);_(* &quot;-&quot;??_);_(@_)">
                  <c:v>4102.8710000000001</c:v>
                </c:pt>
                <c:pt idx="24" formatCode="_(* #,##0_);_(* \(#,##0\);_(* &quot;-&quot;??_);_(@_)">
                  <c:v>4121.8727499999995</c:v>
                </c:pt>
                <c:pt idx="25" formatCode="_(* #,##0_);_(* \(#,##0\);_(* &quot;-&quot;??_);_(@_)">
                  <c:v>3973.9492500000001</c:v>
                </c:pt>
                <c:pt idx="26" formatCode="_(* #,##0_);_(* \(#,##0\);_(* &quot;-&quot;??_);_(@_)">
                  <c:v>3973.9492500000001</c:v>
                </c:pt>
                <c:pt idx="27" formatCode="_(* #,##0_);_(* \(#,##0\);_(* &quot;-&quot;??_);_(@_)">
                  <c:v>3973.9492500000001</c:v>
                </c:pt>
                <c:pt idx="28" formatCode="_(* #,##0_);_(* \(#,##0\);_(* &quot;-&quot;??_);_(@_)">
                  <c:v>3973.9492500000001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869056"/>
        <c:axId val="372869616"/>
      </c:scatterChart>
      <c:valAx>
        <c:axId val="372869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69616"/>
        <c:crosses val="autoZero"/>
        <c:crossBetween val="midCat"/>
      </c:valAx>
      <c:valAx>
        <c:axId val="37286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6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LevelMA!$F$2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LevelMA!$F$3:$F$35</c:f>
              <c:numCache>
                <c:formatCode>_(* #,##0_);_(* \(#,##0\);_(* "-"??_);_(@_)</c:formatCode>
                <c:ptCount val="33"/>
                <c:pt idx="0">
                  <c:v>2.1588560000000001</c:v>
                </c:pt>
                <c:pt idx="1">
                  <c:v>2.6369919999999998</c:v>
                </c:pt>
                <c:pt idx="2">
                  <c:v>2.841888</c:v>
                </c:pt>
                <c:pt idx="3">
                  <c:v>2.4732080000000001</c:v>
                </c:pt>
                <c:pt idx="4">
                  <c:v>4.8257649999999996</c:v>
                </c:pt>
                <c:pt idx="5">
                  <c:v>3.0165950000000001</c:v>
                </c:pt>
                <c:pt idx="6">
                  <c:v>4.4816729999999998</c:v>
                </c:pt>
                <c:pt idx="7">
                  <c:v>7.0281729999999998</c:v>
                </c:pt>
                <c:pt idx="8">
                  <c:v>11.573762</c:v>
                </c:pt>
                <c:pt idx="9">
                  <c:v>9.9437689999999996</c:v>
                </c:pt>
                <c:pt idx="10">
                  <c:v>7.4675840000000004</c:v>
                </c:pt>
                <c:pt idx="11">
                  <c:v>7.3560499999999998</c:v>
                </c:pt>
                <c:pt idx="12">
                  <c:v>6.7710439999999998</c:v>
                </c:pt>
                <c:pt idx="13">
                  <c:v>8.7379580000000008</c:v>
                </c:pt>
                <c:pt idx="14">
                  <c:v>7.907044</c:v>
                </c:pt>
                <c:pt idx="15">
                  <c:v>6.6746090000000002</c:v>
                </c:pt>
                <c:pt idx="16">
                  <c:v>2.8164570000000002</c:v>
                </c:pt>
                <c:pt idx="17">
                  <c:v>8.4250129999999999</c:v>
                </c:pt>
                <c:pt idx="18">
                  <c:v>4.454135</c:v>
                </c:pt>
                <c:pt idx="19">
                  <c:v>8.8877690000000005</c:v>
                </c:pt>
                <c:pt idx="20">
                  <c:v>5.8299070000000004</c:v>
                </c:pt>
                <c:pt idx="21">
                  <c:v>7.5220469999999997</c:v>
                </c:pt>
                <c:pt idx="22">
                  <c:v>6.7269969999999999</c:v>
                </c:pt>
                <c:pt idx="23">
                  <c:v>6.149235</c:v>
                </c:pt>
                <c:pt idx="24">
                  <c:v>8.7567269999999997</c:v>
                </c:pt>
                <c:pt idx="25">
                  <c:v>7.0351650000000001</c:v>
                </c:pt>
                <c:pt idx="26">
                  <c:v>5.7196389999999999</c:v>
                </c:pt>
                <c:pt idx="27">
                  <c:v>3.3550659999999999</c:v>
                </c:pt>
                <c:pt idx="28">
                  <c:v>4.4769199999999998</c:v>
                </c:pt>
                <c:pt idx="29">
                  <c:v>4.1822840000000001</c:v>
                </c:pt>
                <c:pt idx="30">
                  <c:v>4.397214</c:v>
                </c:pt>
                <c:pt idx="31">
                  <c:v>3.431073</c:v>
                </c:pt>
                <c:pt idx="32">
                  <c:v>3.8852259999999998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657392"/>
        <c:axId val="366657952"/>
      </c:scatterChart>
      <c:valAx>
        <c:axId val="366657392"/>
        <c:scaling>
          <c:orientation val="minMax"/>
          <c:max val="2013"/>
          <c:min val="1980"/>
        </c:scaling>
        <c:delete val="0"/>
        <c:axPos val="b"/>
        <c:title>
          <c:tx>
            <c:strRef>
              <c:f>LevelMA!$E$2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57952"/>
        <c:crosses val="autoZero"/>
        <c:crossBetween val="midCat"/>
      </c:valAx>
      <c:valAx>
        <c:axId val="3666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LevelMA!$F$1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5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LevelMA!$S$10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LevelMA!$S$13:$S$39</c:f>
              <c:numCache>
                <c:formatCode>_(* #,##0_);_(* \(#,##0\);_(* "-"??_);_(@_)</c:formatCode>
                <c:ptCount val="27"/>
                <c:pt idx="0">
                  <c:v>7467.5839999999998</c:v>
                </c:pt>
                <c:pt idx="1">
                  <c:v>7356.05</c:v>
                </c:pt>
                <c:pt idx="2">
                  <c:v>6771.0439999999999</c:v>
                </c:pt>
                <c:pt idx="3">
                  <c:v>8737.9580000000005</c:v>
                </c:pt>
                <c:pt idx="4">
                  <c:v>7907.0439999999999</c:v>
                </c:pt>
                <c:pt idx="5">
                  <c:v>6674.6090000000004</c:v>
                </c:pt>
                <c:pt idx="6">
                  <c:v>2816.4569999999999</c:v>
                </c:pt>
                <c:pt idx="7">
                  <c:v>8425.0130000000008</c:v>
                </c:pt>
                <c:pt idx="8">
                  <c:v>4454.1350000000002</c:v>
                </c:pt>
                <c:pt idx="9">
                  <c:v>8887.7690000000002</c:v>
                </c:pt>
                <c:pt idx="10">
                  <c:v>5829.9070000000002</c:v>
                </c:pt>
                <c:pt idx="11">
                  <c:v>7522.0469999999996</c:v>
                </c:pt>
                <c:pt idx="12">
                  <c:v>6726.9970000000003</c:v>
                </c:pt>
                <c:pt idx="13">
                  <c:v>6149.2349999999997</c:v>
                </c:pt>
                <c:pt idx="14">
                  <c:v>8756.7270000000008</c:v>
                </c:pt>
                <c:pt idx="15">
                  <c:v>7035.165</c:v>
                </c:pt>
                <c:pt idx="16">
                  <c:v>5719.6390000000001</c:v>
                </c:pt>
                <c:pt idx="17">
                  <c:v>3355.0659999999998</c:v>
                </c:pt>
                <c:pt idx="18">
                  <c:v>4476.92</c:v>
                </c:pt>
                <c:pt idx="19">
                  <c:v>4182.2839999999997</c:v>
                </c:pt>
                <c:pt idx="20">
                  <c:v>4397.2139999999999</c:v>
                </c:pt>
                <c:pt idx="21">
                  <c:v>3431.0729999999999</c:v>
                </c:pt>
                <c:pt idx="22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LevelMA!$U$10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LevelMA!$R$13:$R$39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LevelMA!$U$13:$U$39</c:f>
              <c:numCache>
                <c:formatCode>General</c:formatCode>
                <c:ptCount val="27"/>
                <c:pt idx="7" formatCode="_(* #,##0_);_(* \(#,##0\);_(* &quot;-&quot;??_);_(@_)">
                  <c:v>6818.6780000000008</c:v>
                </c:pt>
                <c:pt idx="8" formatCode="_(* #,##0_);_(* \(#,##0\);_(* &quot;-&quot;??_);_(@_)">
                  <c:v>6955.4535714285721</c:v>
                </c:pt>
                <c:pt idx="9" formatCode="_(* #,##0_);_(* \(#,##0\);_(* &quot;-&quot;??_);_(@_)">
                  <c:v>6540.8942857142856</c:v>
                </c:pt>
                <c:pt idx="10" formatCode="_(* #,##0_);_(* \(#,##0\);_(* &quot;-&quot;??_);_(@_)">
                  <c:v>6843.2835714285711</c:v>
                </c:pt>
                <c:pt idx="11" formatCode="_(* #,##0_);_(* \(#,##0\);_(* &quot;-&quot;??_);_(@_)">
                  <c:v>6427.8477142857146</c:v>
                </c:pt>
                <c:pt idx="12" formatCode="_(* #,##0_);_(* \(#,##0\);_(* &quot;-&quot;??_);_(@_)">
                  <c:v>6372.8481428571422</c:v>
                </c:pt>
                <c:pt idx="13" formatCode="_(* #,##0_);_(* \(#,##0\);_(* &quot;-&quot;??_);_(@_)">
                  <c:v>6380.3321428571435</c:v>
                </c:pt>
                <c:pt idx="14" formatCode="_(* #,##0_);_(* \(#,##0\);_(* &quot;-&quot;??_);_(@_)">
                  <c:v>6856.4432857142865</c:v>
                </c:pt>
                <c:pt idx="15" formatCode="_(* #,##0_);_(* \(#,##0\);_(* &quot;-&quot;??_);_(@_)">
                  <c:v>6903.8310000000001</c:v>
                </c:pt>
                <c:pt idx="16" formatCode="_(* #,##0_);_(* \(#,##0\);_(* &quot;-&quot;??_);_(@_)">
                  <c:v>7272.5495714285707</c:v>
                </c:pt>
                <c:pt idx="17" formatCode="_(* #,##0_);_(* \(#,##0\);_(* &quot;-&quot;??_);_(@_)">
                  <c:v>6819.9595714285724</c:v>
                </c:pt>
                <c:pt idx="18" formatCode="_(* #,##0_);_(* \(#,##0\);_(* &quot;-&quot;??_);_(@_)">
                  <c:v>6466.4108571428578</c:v>
                </c:pt>
                <c:pt idx="19" formatCode="_(* #,##0_);_(* \(#,##0\);_(* &quot;-&quot;??_);_(@_)">
                  <c:v>6031.3927142857146</c:v>
                </c:pt>
                <c:pt idx="20" formatCode="_(* #,##0_);_(* \(#,##0\);_(* &quot;-&quot;??_);_(@_)">
                  <c:v>5667.8622857142855</c:v>
                </c:pt>
                <c:pt idx="21" formatCode="_(* #,##0_);_(* \(#,##0\);_(* &quot;-&quot;??_);_(@_)">
                  <c:v>5417.5735714285711</c:v>
                </c:pt>
                <c:pt idx="22" formatCode="_(* #,##0_);_(* \(#,##0\);_(* &quot;-&quot;??_);_(@_)">
                  <c:v>4656.7658571428574</c:v>
                </c:pt>
                <c:pt idx="23" formatCode="_(* #,##0_);_(* \(#,##0\);_(* &quot;-&quot;??_);_(@_)">
                  <c:v>4206.7745714285711</c:v>
                </c:pt>
                <c:pt idx="24" formatCode="_(* #,##0_);_(* \(#,##0\);_(* &quot;-&quot;??_);_(@_)">
                  <c:v>4206.7745714285711</c:v>
                </c:pt>
                <c:pt idx="25" formatCode="_(* #,##0_);_(* \(#,##0\);_(* &quot;-&quot;??_);_(@_)">
                  <c:v>4206.7745714285711</c:v>
                </c:pt>
                <c:pt idx="26" formatCode="_(* #,##0_);_(* \(#,##0\);_(* &quot;-&quot;??_);_(@_)">
                  <c:v>4206.7745714285711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661312"/>
        <c:axId val="366661872"/>
      </c:scatterChart>
      <c:valAx>
        <c:axId val="366661312"/>
        <c:scaling>
          <c:orientation val="minMax"/>
        </c:scaling>
        <c:delete val="0"/>
        <c:axPos val="b"/>
        <c:title>
          <c:tx>
            <c:strRef>
              <c:f>LevelMA!$R$10</c:f>
              <c:strCache>
                <c:ptCount val="1"/>
                <c:pt idx="0">
                  <c:v>Year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61872"/>
        <c:crosses val="autoZero"/>
        <c:crossBetween val="midCat"/>
      </c:valAx>
      <c:valAx>
        <c:axId val="36666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61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LevelMA!$AA$10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LevelMA!$Z$11:$Z$39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LevelMA!$AA$11:$AA$39</c:f>
              <c:numCache>
                <c:formatCode>General</c:formatCode>
                <c:ptCount val="29"/>
                <c:pt idx="2" formatCode="_(* #,##0_);_(* \(#,##0\);_(* &quot;-&quot;??_);_(@_)">
                  <c:v>7467.5839999999998</c:v>
                </c:pt>
                <c:pt idx="3" formatCode="_(* #,##0_);_(* \(#,##0\);_(* &quot;-&quot;??_);_(@_)">
                  <c:v>7356.05</c:v>
                </c:pt>
                <c:pt idx="4" formatCode="_(* #,##0_);_(* \(#,##0\);_(* &quot;-&quot;??_);_(@_)">
                  <c:v>6771.0439999999999</c:v>
                </c:pt>
                <c:pt idx="5" formatCode="_(* #,##0_);_(* \(#,##0\);_(* &quot;-&quot;??_);_(@_)">
                  <c:v>8737.9580000000005</c:v>
                </c:pt>
                <c:pt idx="6" formatCode="_(* #,##0_);_(* \(#,##0\);_(* &quot;-&quot;??_);_(@_)">
                  <c:v>7907.0439999999999</c:v>
                </c:pt>
                <c:pt idx="7" formatCode="_(* #,##0_);_(* \(#,##0\);_(* &quot;-&quot;??_);_(@_)">
                  <c:v>6674.6090000000004</c:v>
                </c:pt>
                <c:pt idx="8" formatCode="_(* #,##0_);_(* \(#,##0\);_(* &quot;-&quot;??_);_(@_)">
                  <c:v>2816.4569999999999</c:v>
                </c:pt>
                <c:pt idx="9" formatCode="_(* #,##0_);_(* \(#,##0\);_(* &quot;-&quot;??_);_(@_)">
                  <c:v>8425.0130000000008</c:v>
                </c:pt>
                <c:pt idx="10" formatCode="_(* #,##0_);_(* \(#,##0\);_(* &quot;-&quot;??_);_(@_)">
                  <c:v>4454.1350000000002</c:v>
                </c:pt>
                <c:pt idx="11" formatCode="_(* #,##0_);_(* \(#,##0\);_(* &quot;-&quot;??_);_(@_)">
                  <c:v>8887.7690000000002</c:v>
                </c:pt>
                <c:pt idx="12" formatCode="_(* #,##0_);_(* \(#,##0\);_(* &quot;-&quot;??_);_(@_)">
                  <c:v>5829.9070000000002</c:v>
                </c:pt>
                <c:pt idx="13" formatCode="_(* #,##0_);_(* \(#,##0\);_(* &quot;-&quot;??_);_(@_)">
                  <c:v>7522.0469999999996</c:v>
                </c:pt>
                <c:pt idx="14" formatCode="_(* #,##0_);_(* \(#,##0\);_(* &quot;-&quot;??_);_(@_)">
                  <c:v>6726.9970000000003</c:v>
                </c:pt>
                <c:pt idx="15" formatCode="_(* #,##0_);_(* \(#,##0\);_(* &quot;-&quot;??_);_(@_)">
                  <c:v>6149.2349999999997</c:v>
                </c:pt>
                <c:pt idx="16" formatCode="_(* #,##0_);_(* \(#,##0\);_(* &quot;-&quot;??_);_(@_)">
                  <c:v>8756.7270000000008</c:v>
                </c:pt>
                <c:pt idx="17" formatCode="_(* #,##0_);_(* \(#,##0\);_(* &quot;-&quot;??_);_(@_)">
                  <c:v>7035.165</c:v>
                </c:pt>
                <c:pt idx="18" formatCode="_(* #,##0_);_(* \(#,##0\);_(* &quot;-&quot;??_);_(@_)">
                  <c:v>5719.6390000000001</c:v>
                </c:pt>
                <c:pt idx="19" formatCode="_(* #,##0_);_(* \(#,##0\);_(* &quot;-&quot;??_);_(@_)">
                  <c:v>3355.0659999999998</c:v>
                </c:pt>
                <c:pt idx="20" formatCode="_(* #,##0_);_(* \(#,##0\);_(* &quot;-&quot;??_);_(@_)">
                  <c:v>4476.92</c:v>
                </c:pt>
                <c:pt idx="21" formatCode="_(* #,##0_);_(* \(#,##0\);_(* &quot;-&quot;??_);_(@_)">
                  <c:v>4182.2839999999997</c:v>
                </c:pt>
                <c:pt idx="22" formatCode="_(* #,##0_);_(* \(#,##0\);_(* &quot;-&quot;??_);_(@_)">
                  <c:v>4397.2139999999999</c:v>
                </c:pt>
                <c:pt idx="23" formatCode="_(* #,##0_);_(* \(#,##0\);_(* &quot;-&quot;??_);_(@_)">
                  <c:v>3431.0729999999999</c:v>
                </c:pt>
                <c:pt idx="24" formatCode="_(* #,##0_);_(* \(#,##0\);_(* &quot;-&quot;??_);_(@_)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LevelMA!$AC$10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LevelMA!$Z$11:$Z$39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LevelMA!$AC$11:$AC$39</c:f>
              <c:numCache>
                <c:formatCode>General</c:formatCode>
                <c:ptCount val="29"/>
                <c:pt idx="7" formatCode="_(* #,##0_);_(* \(#,##0\);_(* &quot;-&quot;??_);_(@_)">
                  <c:v>7647.9359999999997</c:v>
                </c:pt>
                <c:pt idx="8" formatCode="_(* #,##0_);_(* \(#,##0\);_(* &quot;-&quot;??_);_(@_)">
                  <c:v>7489.3410000000003</c:v>
                </c:pt>
                <c:pt idx="9" formatCode="_(* #,##0_);_(* \(#,##0\);_(* &quot;-&quot;??_);_(@_)">
                  <c:v>6581.4224000000004</c:v>
                </c:pt>
                <c:pt idx="10" formatCode="_(* #,##0_);_(* \(#,##0\);_(* &quot;-&quot;??_);_(@_)">
                  <c:v>6912.2161999999998</c:v>
                </c:pt>
                <c:pt idx="11" formatCode="_(* #,##0_);_(* \(#,##0\);_(* &quot;-&quot;??_);_(@_)">
                  <c:v>6055.4516000000003</c:v>
                </c:pt>
                <c:pt idx="12" formatCode="_(* #,##0_);_(* \(#,##0\);_(* &quot;-&quot;??_);_(@_)">
                  <c:v>6251.5965999999999</c:v>
                </c:pt>
                <c:pt idx="13" formatCode="_(* #,##0_);_(* \(#,##0\);_(* &quot;-&quot;??_);_(@_)">
                  <c:v>6082.6562000000004</c:v>
                </c:pt>
                <c:pt idx="14" formatCode="_(* #,##0_);_(* \(#,##0\);_(* &quot;-&quot;??_);_(@_)">
                  <c:v>7023.7741999999998</c:v>
                </c:pt>
                <c:pt idx="15" formatCode="_(* #,##0_);_(* \(#,##0\);_(* &quot;-&quot;??_);_(@_)">
                  <c:v>6684.1710000000003</c:v>
                </c:pt>
                <c:pt idx="16" formatCode="_(* #,##0_);_(* \(#,##0\);_(* &quot;-&quot;??_);_(@_)">
                  <c:v>7023.1909999999989</c:v>
                </c:pt>
                <c:pt idx="17" formatCode="_(* #,##0_);_(* \(#,##0\);_(* &quot;-&quot;??_);_(@_)">
                  <c:v>6996.9826000000003</c:v>
                </c:pt>
                <c:pt idx="18" formatCode="_(* #,##0_);_(* \(#,##0\);_(* &quot;-&quot;??_);_(@_)">
                  <c:v>7238.0342000000001</c:v>
                </c:pt>
                <c:pt idx="19" formatCode="_(* #,##0_);_(* \(#,##0\);_(* &quot;-&quot;??_);_(@_)">
                  <c:v>6877.5526000000009</c:v>
                </c:pt>
                <c:pt idx="20" formatCode="_(* #,##0_);_(* \(#,##0\);_(* &quot;-&quot;??_);_(@_)">
                  <c:v>6203.1664000000001</c:v>
                </c:pt>
                <c:pt idx="21" formatCode="_(* #,##0_);_(* \(#,##0\);_(* &quot;-&quot;??_);_(@_)">
                  <c:v>5868.7034000000003</c:v>
                </c:pt>
                <c:pt idx="22" formatCode="_(* #,##0_);_(* \(#,##0\);_(* &quot;-&quot;??_);_(@_)">
                  <c:v>4953.8148000000001</c:v>
                </c:pt>
                <c:pt idx="23" formatCode="_(* #,##0_);_(* \(#,##0\);_(* &quot;-&quot;??_);_(@_)">
                  <c:v>4426.2245999999996</c:v>
                </c:pt>
                <c:pt idx="24" formatCode="_(* #,##0_);_(* \(#,##0\);_(* &quot;-&quot;??_);_(@_)">
                  <c:v>3968.5114000000003</c:v>
                </c:pt>
                <c:pt idx="25" formatCode="_(* #,##0_);_(* \(#,##0\);_(* &quot;-&quot;??_);_(@_)">
                  <c:v>4074.5433999999996</c:v>
                </c:pt>
                <c:pt idx="26" formatCode="_(* #,##0_);_(* \(#,##0\);_(* &quot;-&quot;??_);_(@_)">
                  <c:v>4074.5433999999996</c:v>
                </c:pt>
                <c:pt idx="27" formatCode="_(* #,##0_);_(* \(#,##0\);_(* &quot;-&quot;??_);_(@_)">
                  <c:v>4074.5433999999996</c:v>
                </c:pt>
                <c:pt idx="28" formatCode="_(* #,##0_);_(* \(#,##0\);_(* &quot;-&quot;??_);_(@_)">
                  <c:v>4074.5433999999996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79472"/>
        <c:axId val="444580032"/>
      </c:scatterChart>
      <c:valAx>
        <c:axId val="444579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80032"/>
        <c:crosses val="autoZero"/>
        <c:crossBetween val="midCat"/>
      </c:valAx>
      <c:valAx>
        <c:axId val="44458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79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LevelMA!$AI$10</c:f>
              <c:strCache>
                <c:ptCount val="1"/>
                <c:pt idx="0">
                  <c:v>Forfeitures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LevelMA!$AH$11:$AH$39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LevelMA!$AI$11:$AI$39</c:f>
              <c:numCache>
                <c:formatCode>General</c:formatCode>
                <c:ptCount val="29"/>
                <c:pt idx="2" formatCode="_(* #,##0_);_(* \(#,##0\);_(* &quot;-&quot;??_);_(@_)">
                  <c:v>7467.5839999999998</c:v>
                </c:pt>
                <c:pt idx="3" formatCode="_(* #,##0_);_(* \(#,##0\);_(* &quot;-&quot;??_);_(@_)">
                  <c:v>7356.05</c:v>
                </c:pt>
                <c:pt idx="4" formatCode="_(* #,##0_);_(* \(#,##0\);_(* &quot;-&quot;??_);_(@_)">
                  <c:v>6771.0439999999999</c:v>
                </c:pt>
                <c:pt idx="5" formatCode="_(* #,##0_);_(* \(#,##0\);_(* &quot;-&quot;??_);_(@_)">
                  <c:v>8737.9580000000005</c:v>
                </c:pt>
                <c:pt idx="6" formatCode="_(* #,##0_);_(* \(#,##0\);_(* &quot;-&quot;??_);_(@_)">
                  <c:v>7907.0439999999999</c:v>
                </c:pt>
                <c:pt idx="7" formatCode="_(* #,##0_);_(* \(#,##0\);_(* &quot;-&quot;??_);_(@_)">
                  <c:v>6674.6090000000004</c:v>
                </c:pt>
                <c:pt idx="8" formatCode="_(* #,##0_);_(* \(#,##0\);_(* &quot;-&quot;??_);_(@_)">
                  <c:v>2816.4569999999999</c:v>
                </c:pt>
                <c:pt idx="9" formatCode="_(* #,##0_);_(* \(#,##0\);_(* &quot;-&quot;??_);_(@_)">
                  <c:v>8425.0130000000008</c:v>
                </c:pt>
                <c:pt idx="10" formatCode="_(* #,##0_);_(* \(#,##0\);_(* &quot;-&quot;??_);_(@_)">
                  <c:v>4454.1350000000002</c:v>
                </c:pt>
                <c:pt idx="11" formatCode="_(* #,##0_);_(* \(#,##0\);_(* &quot;-&quot;??_);_(@_)">
                  <c:v>8887.7690000000002</c:v>
                </c:pt>
                <c:pt idx="12" formatCode="_(* #,##0_);_(* \(#,##0\);_(* &quot;-&quot;??_);_(@_)">
                  <c:v>5829.9070000000002</c:v>
                </c:pt>
                <c:pt idx="13" formatCode="_(* #,##0_);_(* \(#,##0\);_(* &quot;-&quot;??_);_(@_)">
                  <c:v>7522.0469999999996</c:v>
                </c:pt>
                <c:pt idx="14" formatCode="_(* #,##0_);_(* \(#,##0\);_(* &quot;-&quot;??_);_(@_)">
                  <c:v>6726.9970000000003</c:v>
                </c:pt>
                <c:pt idx="15" formatCode="_(* #,##0_);_(* \(#,##0\);_(* &quot;-&quot;??_);_(@_)">
                  <c:v>6149.2349999999997</c:v>
                </c:pt>
                <c:pt idx="16" formatCode="_(* #,##0_);_(* \(#,##0\);_(* &quot;-&quot;??_);_(@_)">
                  <c:v>8756.7270000000008</c:v>
                </c:pt>
                <c:pt idx="17" formatCode="_(* #,##0_);_(* \(#,##0\);_(* &quot;-&quot;??_);_(@_)">
                  <c:v>7035.165</c:v>
                </c:pt>
                <c:pt idx="18" formatCode="_(* #,##0_);_(* \(#,##0\);_(* &quot;-&quot;??_);_(@_)">
                  <c:v>5719.6390000000001</c:v>
                </c:pt>
                <c:pt idx="19" formatCode="_(* #,##0_);_(* \(#,##0\);_(* &quot;-&quot;??_);_(@_)">
                  <c:v>3355.0659999999998</c:v>
                </c:pt>
                <c:pt idx="20" formatCode="_(* #,##0_);_(* \(#,##0\);_(* &quot;-&quot;??_);_(@_)">
                  <c:v>4476.92</c:v>
                </c:pt>
                <c:pt idx="21" formatCode="_(* #,##0_);_(* \(#,##0\);_(* &quot;-&quot;??_);_(@_)">
                  <c:v>4182.2839999999997</c:v>
                </c:pt>
                <c:pt idx="22" formatCode="_(* #,##0_);_(* \(#,##0\);_(* &quot;-&quot;??_);_(@_)">
                  <c:v>4397.2139999999999</c:v>
                </c:pt>
                <c:pt idx="23" formatCode="_(* #,##0_);_(* \(#,##0\);_(* &quot;-&quot;??_);_(@_)">
                  <c:v>3431.0729999999999</c:v>
                </c:pt>
                <c:pt idx="24" formatCode="_(* #,##0_);_(* \(#,##0\);_(* &quot;-&quot;??_);_(@_)">
                  <c:v>3885.2260000000001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LevelMA!$AK$10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LevelMA!$AH$11:$AH$39</c:f>
              <c:numCache>
                <c:formatCode>General</c:formatCode>
                <c:ptCount val="29"/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</c:numCache>
            </c:numRef>
          </c:xVal>
          <c:yVal>
            <c:numRef>
              <c:f>LevelMA!$AK$11:$AK$39</c:f>
              <c:numCache>
                <c:formatCode>General</c:formatCode>
                <c:ptCount val="29"/>
                <c:pt idx="5" formatCode="_(* #,##0_);_(* \(#,##0\);_(* &quot;-&quot;??_);_(@_)">
                  <c:v>7198.2259999999997</c:v>
                </c:pt>
                <c:pt idx="6" formatCode="_(* #,##0_);_(* \(#,##0\);_(* &quot;-&quot;??_);_(@_)">
                  <c:v>7583.1589999999997</c:v>
                </c:pt>
                <c:pt idx="7" formatCode="_(* #,##0_);_(* \(#,##0\);_(* &quot;-&quot;??_);_(@_)">
                  <c:v>7693.0240000000013</c:v>
                </c:pt>
                <c:pt idx="8" formatCode="_(* #,##0_);_(* \(#,##0\);_(* &quot;-&quot;??_);_(@_)">
                  <c:v>7522.6637500000006</c:v>
                </c:pt>
                <c:pt idx="9" formatCode="_(* #,##0_);_(* \(#,##0\);_(* &quot;-&quot;??_);_(@_)">
                  <c:v>6534.0169999999998</c:v>
                </c:pt>
                <c:pt idx="10" formatCode="_(* #,##0_);_(* \(#,##0\);_(* &quot;-&quot;??_);_(@_)">
                  <c:v>6455.7807499999999</c:v>
                </c:pt>
                <c:pt idx="11" formatCode="_(* #,##0_);_(* \(#,##0\);_(* &quot;-&quot;??_);_(@_)">
                  <c:v>5592.5535</c:v>
                </c:pt>
                <c:pt idx="12" formatCode="_(* #,##0_);_(* \(#,##0\);_(* &quot;-&quot;??_);_(@_)">
                  <c:v>6145.8435000000009</c:v>
                </c:pt>
                <c:pt idx="13" formatCode="_(* #,##0_);_(* \(#,##0\);_(* &quot;-&quot;??_);_(@_)">
                  <c:v>6899.2060000000001</c:v>
                </c:pt>
                <c:pt idx="14" formatCode="_(* #,##0_);_(* \(#,##0\);_(* &quot;-&quot;??_);_(@_)">
                  <c:v>6673.4645</c:v>
                </c:pt>
                <c:pt idx="15" formatCode="_(* #,##0_);_(* \(#,##0\);_(* &quot;-&quot;??_);_(@_)">
                  <c:v>7241.6799999999994</c:v>
                </c:pt>
                <c:pt idx="16" formatCode="_(* #,##0_);_(* \(#,##0\);_(* &quot;-&quot;??_);_(@_)">
                  <c:v>6557.0465000000004</c:v>
                </c:pt>
                <c:pt idx="17" formatCode="_(* #,##0_);_(* \(#,##0\);_(* &quot;-&quot;??_);_(@_)">
                  <c:v>7288.7515000000003</c:v>
                </c:pt>
                <c:pt idx="18" formatCode="_(* #,##0_);_(* \(#,##0\);_(* &quot;-&quot;??_);_(@_)">
                  <c:v>7167.0310000000009</c:v>
                </c:pt>
                <c:pt idx="19" formatCode="_(* #,##0_);_(* \(#,##0\);_(* &quot;-&quot;??_);_(@_)">
                  <c:v>6915.1914999999999</c:v>
                </c:pt>
                <c:pt idx="20" formatCode="_(* #,##0_);_(* \(#,##0\);_(* &quot;-&quot;??_);_(@_)">
                  <c:v>6216.6492499999995</c:v>
                </c:pt>
                <c:pt idx="21" formatCode="_(* #,##0_);_(* \(#,##0\);_(* &quot;-&quot;??_);_(@_)">
                  <c:v>5146.6975000000002</c:v>
                </c:pt>
                <c:pt idx="22" formatCode="_(* #,##0_);_(* \(#,##0\);_(* &quot;-&quot;??_);_(@_)">
                  <c:v>4433.4772499999999</c:v>
                </c:pt>
                <c:pt idx="23" formatCode="_(* #,##0_);_(* \(#,##0\);_(* &quot;-&quot;??_);_(@_)">
                  <c:v>4102.8710000000001</c:v>
                </c:pt>
                <c:pt idx="24" formatCode="_(* #,##0_);_(* \(#,##0\);_(* &quot;-&quot;??_);_(@_)">
                  <c:v>4121.8727499999995</c:v>
                </c:pt>
                <c:pt idx="25" formatCode="_(* #,##0_);_(* \(#,##0\);_(* &quot;-&quot;??_);_(@_)">
                  <c:v>3973.9492500000001</c:v>
                </c:pt>
                <c:pt idx="26" formatCode="_(* #,##0_);_(* \(#,##0\);_(* &quot;-&quot;??_);_(@_)">
                  <c:v>3973.9492500000001</c:v>
                </c:pt>
                <c:pt idx="27" formatCode="_(* #,##0_);_(* \(#,##0\);_(* &quot;-&quot;??_);_(@_)">
                  <c:v>3973.9492500000001</c:v>
                </c:pt>
                <c:pt idx="28" formatCode="_(* #,##0_);_(* \(#,##0\);_(* &quot;-&quot;??_);_(@_)">
                  <c:v>3973.9492500000001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83392"/>
        <c:axId val="444583952"/>
      </c:scatterChart>
      <c:valAx>
        <c:axId val="44458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83952"/>
        <c:crosses val="autoZero"/>
        <c:crossBetween val="midCat"/>
      </c:valAx>
      <c:valAx>
        <c:axId val="44458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83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'TrendMA  (2)'!$F$2</c:f>
              <c:strCache>
                <c:ptCount val="1"/>
                <c:pt idx="0">
                  <c:v>General 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'TrendMA  (2)'!$E$3:$E$35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'TrendMA  (2)'!$F$3:$F$35</c:f>
              <c:numCache>
                <c:formatCode>_(* #,##0_);_(* \(#,##0\);_(* "-"??_);_(@_)</c:formatCode>
                <c:ptCount val="33"/>
                <c:pt idx="0">
                  <c:v>1142.2455580000001</c:v>
                </c:pt>
                <c:pt idx="1">
                  <c:v>1311.3480750000001</c:v>
                </c:pt>
                <c:pt idx="2">
                  <c:v>1414.8554389999999</c:v>
                </c:pt>
                <c:pt idx="3">
                  <c:v>1514.818755</c:v>
                </c:pt>
                <c:pt idx="4">
                  <c:v>1686.320154</c:v>
                </c:pt>
                <c:pt idx="5">
                  <c:v>1827.7905699999999</c:v>
                </c:pt>
                <c:pt idx="6">
                  <c:v>1908.646223</c:v>
                </c:pt>
                <c:pt idx="7">
                  <c:v>2044.385886</c:v>
                </c:pt>
                <c:pt idx="8">
                  <c:v>2222.9420869999999</c:v>
                </c:pt>
                <c:pt idx="9">
                  <c:v>2329.9424309999999</c:v>
                </c:pt>
                <c:pt idx="10">
                  <c:v>2431.2189410000001</c:v>
                </c:pt>
                <c:pt idx="11">
                  <c:v>2353.7591830000001</c:v>
                </c:pt>
                <c:pt idx="12">
                  <c:v>2277.8217890000001</c:v>
                </c:pt>
                <c:pt idx="13">
                  <c:v>2402.2427349999998</c:v>
                </c:pt>
                <c:pt idx="14">
                  <c:v>2503.6461469999999</c:v>
                </c:pt>
                <c:pt idx="15">
                  <c:v>2620.9324329999999</c:v>
                </c:pt>
                <c:pt idx="16">
                  <c:v>2742.2064030000001</c:v>
                </c:pt>
                <c:pt idx="17">
                  <c:v>2937.083067</c:v>
                </c:pt>
                <c:pt idx="18">
                  <c:v>3069.3782200000001</c:v>
                </c:pt>
                <c:pt idx="19">
                  <c:v>3204.138379</c:v>
                </c:pt>
                <c:pt idx="20">
                  <c:v>3525.6096170000001</c:v>
                </c:pt>
                <c:pt idx="21">
                  <c:v>3678.7344950000002</c:v>
                </c:pt>
                <c:pt idx="22">
                  <c:v>3373.3543840000002</c:v>
                </c:pt>
                <c:pt idx="23">
                  <c:v>3550.673303</c:v>
                </c:pt>
                <c:pt idx="24">
                  <c:v>4042.4861890000002</c:v>
                </c:pt>
                <c:pt idx="25">
                  <c:v>4375.119119</c:v>
                </c:pt>
                <c:pt idx="26">
                  <c:v>4439.3623710000002</c:v>
                </c:pt>
                <c:pt idx="27">
                  <c:v>4644.5388849999999</c:v>
                </c:pt>
                <c:pt idx="28">
                  <c:v>4890.7377500000002</c:v>
                </c:pt>
                <c:pt idx="29">
                  <c:v>4614.9260139999997</c:v>
                </c:pt>
                <c:pt idx="30">
                  <c:v>5076.371075</c:v>
                </c:pt>
                <c:pt idx="31">
                  <c:v>5610.2431429999997</c:v>
                </c:pt>
                <c:pt idx="32">
                  <c:v>5826.0464279999997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86752"/>
        <c:axId val="444531376"/>
      </c:scatterChart>
      <c:valAx>
        <c:axId val="444586752"/>
        <c:scaling>
          <c:orientation val="minMax"/>
          <c:max val="2013"/>
          <c:min val="1980"/>
        </c:scaling>
        <c:delete val="0"/>
        <c:axPos val="b"/>
        <c:title>
          <c:tx>
            <c:strRef>
              <c:f>'TrendMA  (2)'!$E$2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31376"/>
        <c:crosses val="autoZero"/>
        <c:crossBetween val="midCat"/>
      </c:valAx>
      <c:valAx>
        <c:axId val="44453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'TrendMA  (2)'!$F$1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8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Rental Income Adjusted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Outliers!$F$2</c:f>
              <c:strCache>
                <c:ptCount val="1"/>
                <c:pt idx="0">
                  <c:v>Rental Income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Outliers!$F$3:$F$35</c:f>
              <c:numCache>
                <c:formatCode>_(* #,##0_);_(* \(#,##0\);_(* "-"??_);_(@_)</c:formatCode>
                <c:ptCount val="33"/>
                <c:pt idx="0">
                  <c:v>75.713783000000006</c:v>
                </c:pt>
                <c:pt idx="1">
                  <c:v>84.865061999999995</c:v>
                </c:pt>
                <c:pt idx="2">
                  <c:v>91.156329999999997</c:v>
                </c:pt>
                <c:pt idx="3">
                  <c:v>113.513166</c:v>
                </c:pt>
                <c:pt idx="4">
                  <c:v>114.34482</c:v>
                </c:pt>
                <c:pt idx="5">
                  <c:v>140.74942999999999</c:v>
                </c:pt>
                <c:pt idx="6">
                  <c:v>180.924441</c:v>
                </c:pt>
                <c:pt idx="7">
                  <c:v>188.42977500000001</c:v>
                </c:pt>
                <c:pt idx="8">
                  <c:v>202.431161</c:v>
                </c:pt>
                <c:pt idx="9">
                  <c:v>187.32831899999999</c:v>
                </c:pt>
                <c:pt idx="10">
                  <c:v>207.41287199999999</c:v>
                </c:pt>
                <c:pt idx="11">
                  <c:v>169.527095</c:v>
                </c:pt>
                <c:pt idx="12">
                  <c:v>157.86638400000001</c:v>
                </c:pt>
                <c:pt idx="13">
                  <c:v>161.76284000000001</c:v>
                </c:pt>
                <c:pt idx="14">
                  <c:v>132.81151199999999</c:v>
                </c:pt>
                <c:pt idx="15">
                  <c:v>126.530545</c:v>
                </c:pt>
                <c:pt idx="16">
                  <c:v>138.722981</c:v>
                </c:pt>
                <c:pt idx="17">
                  <c:v>142.96216799999999</c:v>
                </c:pt>
                <c:pt idx="18">
                  <c:v>151.38879700000001</c:v>
                </c:pt>
                <c:pt idx="19">
                  <c:v>114.25098199999999</c:v>
                </c:pt>
                <c:pt idx="20">
                  <c:v>138.916302</c:v>
                </c:pt>
                <c:pt idx="21">
                  <c:v>153.86925299999999</c:v>
                </c:pt>
                <c:pt idx="22">
                  <c:v>114.893687</c:v>
                </c:pt>
                <c:pt idx="23">
                  <c:v>108.56427499999999</c:v>
                </c:pt>
                <c:pt idx="24">
                  <c:v>107.737927</c:v>
                </c:pt>
                <c:pt idx="25">
                  <c:v>943.69427700000006</c:v>
                </c:pt>
                <c:pt idx="26">
                  <c:v>209.189168</c:v>
                </c:pt>
                <c:pt idx="27">
                  <c:v>211.27633499999999</c:v>
                </c:pt>
                <c:pt idx="28">
                  <c:v>256.80494199999998</c:v>
                </c:pt>
                <c:pt idx="29">
                  <c:v>255.433694</c:v>
                </c:pt>
                <c:pt idx="30">
                  <c:v>234.38808800000001</c:v>
                </c:pt>
                <c:pt idx="31">
                  <c:v>253.40296000000001</c:v>
                </c:pt>
                <c:pt idx="32">
                  <c:v>291.22457300000002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Outliers!$G$2</c:f>
              <c:strCache>
                <c:ptCount val="1"/>
                <c:pt idx="0">
                  <c:v>Rental Income Adjusted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Outliers!$G$3:$G$35</c:f>
              <c:numCache>
                <c:formatCode>General</c:formatCode>
                <c:ptCount val="33"/>
                <c:pt idx="25" formatCode="_(* #,##0.00_);_(* \(#,##0.00\);_(* &quot;-&quot;??_);_(@_)">
                  <c:v>626.1402031069573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956496"/>
        <c:axId val="351903248"/>
      </c:scatterChart>
      <c:valAx>
        <c:axId val="386956496"/>
        <c:scaling>
          <c:orientation val="minMax"/>
          <c:max val="2013"/>
          <c:min val="19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903248"/>
        <c:crosses val="autoZero"/>
        <c:crossBetween val="midCat"/>
      </c:valAx>
      <c:valAx>
        <c:axId val="3519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956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'TrendMA  (2)'!$S$2</c:f>
          <c:strCache>
            <c:ptCount val="1"/>
            <c:pt idx="0">
              <c:v>General Sales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'TrendMA  (2)'!$S$2</c:f>
              <c:strCache>
                <c:ptCount val="1"/>
                <c:pt idx="0">
                  <c:v>General 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'TrendMA  (2)'!$R$3:$R$39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xVal>
          <c:yVal>
            <c:numRef>
              <c:f>'TrendMA  (2)'!$S$3:$S$39</c:f>
              <c:numCache>
                <c:formatCode>_(* #,##0_);_(* \(#,##0\);_(* "-"??_);_(@_)</c:formatCode>
                <c:ptCount val="37"/>
                <c:pt idx="0">
                  <c:v>1142245.558</c:v>
                </c:pt>
                <c:pt idx="1">
                  <c:v>1311348.075</c:v>
                </c:pt>
                <c:pt idx="2">
                  <c:v>1414855.439</c:v>
                </c:pt>
                <c:pt idx="3">
                  <c:v>1514818.7549999999</c:v>
                </c:pt>
                <c:pt idx="4">
                  <c:v>1686320.1540000001</c:v>
                </c:pt>
                <c:pt idx="5">
                  <c:v>1827790.57</c:v>
                </c:pt>
                <c:pt idx="6">
                  <c:v>1908646.223</c:v>
                </c:pt>
                <c:pt idx="7">
                  <c:v>2044385.8859999999</c:v>
                </c:pt>
                <c:pt idx="8">
                  <c:v>2222942.0869999998</c:v>
                </c:pt>
                <c:pt idx="9">
                  <c:v>2329942.4309999999</c:v>
                </c:pt>
                <c:pt idx="10">
                  <c:v>2431218.9410000001</c:v>
                </c:pt>
                <c:pt idx="11">
                  <c:v>2353759.1830000002</c:v>
                </c:pt>
                <c:pt idx="12">
                  <c:v>2277821.7889999999</c:v>
                </c:pt>
                <c:pt idx="13">
                  <c:v>2402242.7349999999</c:v>
                </c:pt>
                <c:pt idx="14">
                  <c:v>2503646.1469999999</c:v>
                </c:pt>
                <c:pt idx="15">
                  <c:v>2620932.4330000002</c:v>
                </c:pt>
                <c:pt idx="16">
                  <c:v>2742206.4029999999</c:v>
                </c:pt>
                <c:pt idx="17">
                  <c:v>2937083.0669999998</c:v>
                </c:pt>
                <c:pt idx="18">
                  <c:v>3069378.22</c:v>
                </c:pt>
                <c:pt idx="19">
                  <c:v>3204138.3790000002</c:v>
                </c:pt>
                <c:pt idx="20">
                  <c:v>3525609.6170000001</c:v>
                </c:pt>
                <c:pt idx="21">
                  <c:v>3678734.4950000001</c:v>
                </c:pt>
                <c:pt idx="22">
                  <c:v>3373354.3840000001</c:v>
                </c:pt>
                <c:pt idx="23">
                  <c:v>3550673.3029999998</c:v>
                </c:pt>
                <c:pt idx="24">
                  <c:v>4042486.1889999998</c:v>
                </c:pt>
                <c:pt idx="25">
                  <c:v>4375119.1189999999</c:v>
                </c:pt>
                <c:pt idx="26">
                  <c:v>4439362.3710000003</c:v>
                </c:pt>
                <c:pt idx="27">
                  <c:v>4644538.8849999998</c:v>
                </c:pt>
                <c:pt idx="28">
                  <c:v>4890737.75</c:v>
                </c:pt>
                <c:pt idx="29">
                  <c:v>4614926.0140000004</c:v>
                </c:pt>
                <c:pt idx="30">
                  <c:v>5076371.0750000002</c:v>
                </c:pt>
                <c:pt idx="31">
                  <c:v>5610243.1430000002</c:v>
                </c:pt>
                <c:pt idx="32">
                  <c:v>5826046.4280000003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'TrendMA  (2)'!$W$2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'TrendMA  (2)'!$R$3:$R$39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xVal>
          <c:yVal>
            <c:numRef>
              <c:f>'TrendMA  (2)'!$W$3:$W$39</c:f>
              <c:numCache>
                <c:formatCode>General</c:formatCode>
                <c:ptCount val="37"/>
                <c:pt idx="8" formatCode="_(* #,##0_);_(* \(#,##0\);_(* &quot;-&quot;??_);_(@_)">
                  <c:v>2188103.7734285714</c:v>
                </c:pt>
                <c:pt idx="9" formatCode="_(* #,##0_);_(* \(#,##0\);_(* &quot;-&quot;??_);_(@_)">
                  <c:v>2323733.5945714284</c:v>
                </c:pt>
                <c:pt idx="10" formatCode="_(* #,##0_);_(* \(#,##0\);_(* &quot;-&quot;??_);_(@_)">
                  <c:v>2456456.296285714</c:v>
                </c:pt>
                <c:pt idx="11" formatCode="_(* #,##0_);_(* \(#,##0\);_(* &quot;-&quot;??_);_(@_)">
                  <c:v>2588121.0051428573</c:v>
                </c:pt>
                <c:pt idx="12" formatCode="_(* #,##0_);_(* \(#,##0\);_(* &quot;-&quot;??_);_(@_)">
                  <c:v>2541205.9195714281</c:v>
                </c:pt>
                <c:pt idx="13" formatCode="_(* #,##0_);_(* \(#,##0\);_(* &quot;-&quot;??_);_(@_)">
                  <c:v>2481263.0594285713</c:v>
                </c:pt>
                <c:pt idx="14" formatCode="_(* #,##0_);_(* \(#,##0\);_(* &quot;-&quot;??_);_(@_)">
                  <c:v>2576671.2999999993</c:v>
                </c:pt>
                <c:pt idx="15" formatCode="_(* #,##0_);_(* \(#,##0\);_(* &quot;-&quot;??_);_(@_)">
                  <c:v>2622659.1938571422</c:v>
                </c:pt>
                <c:pt idx="16" formatCode="_(* #,##0_);_(* \(#,##0\);_(* &quot;-&quot;??_);_(@_)">
                  <c:v>2644503.5775714293</c:v>
                </c:pt>
                <c:pt idx="17" formatCode="_(* #,##0_);_(* \(#,##0\);_(* &quot;-&quot;??_);_(@_)">
                  <c:v>2711554.788428572</c:v>
                </c:pt>
                <c:pt idx="18" formatCode="_(* #,##0_);_(* \(#,##0\);_(* &quot;-&quot;??_);_(@_)">
                  <c:v>2837306.8944285712</c:v>
                </c:pt>
                <c:pt idx="19" formatCode="_(* #,##0_);_(* \(#,##0\);_(* &quot;-&quot;??_);_(@_)">
                  <c:v>3059398.1345714284</c:v>
                </c:pt>
                <c:pt idx="20" formatCode="_(* #,##0_);_(* \(#,##0\);_(* &quot;-&quot;??_);_(@_)">
                  <c:v>3312127.6777142859</c:v>
                </c:pt>
                <c:pt idx="21" formatCode="_(* #,##0_);_(* \(#,##0\);_(* &quot;-&quot;??_);_(@_)">
                  <c:v>3585208.8277142858</c:v>
                </c:pt>
                <c:pt idx="22" formatCode="_(* #,##0_);_(* \(#,##0\);_(* &quot;-&quot;??_);_(@_)">
                  <c:v>3782633.7151428573</c:v>
                </c:pt>
                <c:pt idx="23" formatCode="_(* #,##0_);_(* \(#,##0\);_(* &quot;-&quot;??_);_(@_)">
                  <c:v>3648598.9098571432</c:v>
                </c:pt>
                <c:pt idx="24" formatCode="_(* #,##0_);_(* \(#,##0\);_(* &quot;-&quot;??_);_(@_)">
                  <c:v>3796119.8664285713</c:v>
                </c:pt>
                <c:pt idx="25" formatCode="_(* #,##0_);_(* \(#,##0\);_(* &quot;-&quot;??_);_(@_)">
                  <c:v>4123712.4392857137</c:v>
                </c:pt>
                <c:pt idx="26" formatCode="_(* #,##0_);_(* \(#,##0\);_(* &quot;-&quot;??_);_(@_)">
                  <c:v>4424725.5831428571</c:v>
                </c:pt>
                <c:pt idx="27" formatCode="_(* #,##0_);_(* \(#,##0\);_(* &quot;-&quot;??_);_(@_)">
                  <c:v>4560890.7779999999</c:v>
                </c:pt>
                <c:pt idx="28" formatCode="_(* #,##0_);_(* \(#,##0\);_(* &quot;-&quot;??_);_(@_)">
                  <c:v>4654283.688285714</c:v>
                </c:pt>
                <c:pt idx="29" formatCode="_(* #,##0_);_(* \(#,##0\);_(* &quot;-&quot;??_);_(@_)">
                  <c:v>4880612.1458571432</c:v>
                </c:pt>
                <c:pt idx="30" formatCode="_(* #,##0_);_(* \(#,##0\);_(* &quot;-&quot;??_);_(@_)">
                  <c:v>5074875.7358571431</c:v>
                </c:pt>
                <c:pt idx="31" formatCode="_(* #,##0_);_(* \(#,##0\);_(* &quot;-&quot;??_);_(@_)">
                  <c:v>5455190.3558571432</c:v>
                </c:pt>
                <c:pt idx="32" formatCode="_(* #,##0_);_(* \(#,##0\);_(* &quot;-&quot;??_);_(@_)">
                  <c:v>5703189.4532857146</c:v>
                </c:pt>
                <c:pt idx="33" formatCode="_(* #,##0_);_(* \(#,##0\);_(* &quot;-&quot;??_);_(@_)">
                  <c:v>5843704.9860000005</c:v>
                </c:pt>
                <c:pt idx="34" formatCode="_(* #,##0_);_(* \(#,##0\);_(* &quot;-&quot;??_);_(@_)">
                  <c:v>6050980.3158571431</c:v>
                </c:pt>
                <c:pt idx="35" formatCode="_(* #,##0_);_(* \(#,##0\);_(* &quot;-&quot;??_);_(@_)">
                  <c:v>6258255.6457142858</c:v>
                </c:pt>
                <c:pt idx="36" formatCode="_(* #,##0_);_(* \(#,##0\);_(* &quot;-&quot;??_);_(@_)">
                  <c:v>6465530.9755714284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34736"/>
        <c:axId val="444535296"/>
      </c:scatterChart>
      <c:valAx>
        <c:axId val="444534736"/>
        <c:scaling>
          <c:orientation val="minMax"/>
          <c:min val="1980"/>
        </c:scaling>
        <c:delete val="0"/>
        <c:axPos val="b"/>
        <c:title>
          <c:tx>
            <c:strRef>
              <c:f>'TrendMA  (2)'!$R$2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35296"/>
        <c:crosses val="autoZero"/>
        <c:crossBetween val="midCat"/>
      </c:valAx>
      <c:valAx>
        <c:axId val="44453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34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'TrendMA  (2)'!$F$2</c:f>
              <c:strCache>
                <c:ptCount val="1"/>
                <c:pt idx="0">
                  <c:v>General 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'TrendMA  (2)'!$E$3:$E$35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'TrendMA  (2)'!$F$3:$F$35</c:f>
              <c:numCache>
                <c:formatCode>_(* #,##0_);_(* \(#,##0\);_(* "-"??_);_(@_)</c:formatCode>
                <c:ptCount val="33"/>
                <c:pt idx="0">
                  <c:v>1142.2455580000001</c:v>
                </c:pt>
                <c:pt idx="1">
                  <c:v>1311.3480750000001</c:v>
                </c:pt>
                <c:pt idx="2">
                  <c:v>1414.8554389999999</c:v>
                </c:pt>
                <c:pt idx="3">
                  <c:v>1514.818755</c:v>
                </c:pt>
                <c:pt idx="4">
                  <c:v>1686.320154</c:v>
                </c:pt>
                <c:pt idx="5">
                  <c:v>1827.7905699999999</c:v>
                </c:pt>
                <c:pt idx="6">
                  <c:v>1908.646223</c:v>
                </c:pt>
                <c:pt idx="7">
                  <c:v>2044.385886</c:v>
                </c:pt>
                <c:pt idx="8">
                  <c:v>2222.9420869999999</c:v>
                </c:pt>
                <c:pt idx="9">
                  <c:v>2329.9424309999999</c:v>
                </c:pt>
                <c:pt idx="10">
                  <c:v>2431.2189410000001</c:v>
                </c:pt>
                <c:pt idx="11">
                  <c:v>2353.7591830000001</c:v>
                </c:pt>
                <c:pt idx="12">
                  <c:v>2277.8217890000001</c:v>
                </c:pt>
                <c:pt idx="13">
                  <c:v>2402.2427349999998</c:v>
                </c:pt>
                <c:pt idx="14">
                  <c:v>2503.6461469999999</c:v>
                </c:pt>
                <c:pt idx="15">
                  <c:v>2620.9324329999999</c:v>
                </c:pt>
                <c:pt idx="16">
                  <c:v>2742.2064030000001</c:v>
                </c:pt>
                <c:pt idx="17">
                  <c:v>2937.083067</c:v>
                </c:pt>
                <c:pt idx="18">
                  <c:v>3069.3782200000001</c:v>
                </c:pt>
                <c:pt idx="19">
                  <c:v>3204.138379</c:v>
                </c:pt>
                <c:pt idx="20">
                  <c:v>3525.6096170000001</c:v>
                </c:pt>
                <c:pt idx="21">
                  <c:v>3678.7344950000002</c:v>
                </c:pt>
                <c:pt idx="22">
                  <c:v>3373.3543840000002</c:v>
                </c:pt>
                <c:pt idx="23">
                  <c:v>3550.673303</c:v>
                </c:pt>
                <c:pt idx="24">
                  <c:v>4042.4861890000002</c:v>
                </c:pt>
                <c:pt idx="25">
                  <c:v>4375.119119</c:v>
                </c:pt>
                <c:pt idx="26">
                  <c:v>4439.3623710000002</c:v>
                </c:pt>
                <c:pt idx="27">
                  <c:v>4644.5388849999999</c:v>
                </c:pt>
                <c:pt idx="28">
                  <c:v>4890.7377500000002</c:v>
                </c:pt>
                <c:pt idx="29">
                  <c:v>4614.9260139999997</c:v>
                </c:pt>
                <c:pt idx="30">
                  <c:v>5076.371075</c:v>
                </c:pt>
                <c:pt idx="31">
                  <c:v>5610.2431429999997</c:v>
                </c:pt>
                <c:pt idx="32">
                  <c:v>5826.0464279999997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38096"/>
        <c:axId val="444538656"/>
      </c:scatterChart>
      <c:valAx>
        <c:axId val="444538096"/>
        <c:scaling>
          <c:orientation val="minMax"/>
          <c:max val="2013"/>
          <c:min val="1980"/>
        </c:scaling>
        <c:delete val="0"/>
        <c:axPos val="b"/>
        <c:title>
          <c:tx>
            <c:strRef>
              <c:f>'TrendMA  (2)'!$E$2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38656"/>
        <c:crosses val="autoZero"/>
        <c:crossBetween val="midCat"/>
      </c:valAx>
      <c:valAx>
        <c:axId val="44453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'TrendMA  (2)'!$F$1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38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'TrendMA  (2)'!$S$2</c:f>
          <c:strCache>
            <c:ptCount val="1"/>
            <c:pt idx="0">
              <c:v>General Sales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'TrendMA  (2)'!$S$2</c:f>
              <c:strCache>
                <c:ptCount val="1"/>
                <c:pt idx="0">
                  <c:v>General 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'TrendMA  (2)'!$R$3:$R$39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xVal>
          <c:yVal>
            <c:numRef>
              <c:f>'TrendMA  (2)'!$S$3:$S$39</c:f>
              <c:numCache>
                <c:formatCode>_(* #,##0_);_(* \(#,##0\);_(* "-"??_);_(@_)</c:formatCode>
                <c:ptCount val="37"/>
                <c:pt idx="0">
                  <c:v>1142245.558</c:v>
                </c:pt>
                <c:pt idx="1">
                  <c:v>1311348.075</c:v>
                </c:pt>
                <c:pt idx="2">
                  <c:v>1414855.439</c:v>
                </c:pt>
                <c:pt idx="3">
                  <c:v>1514818.7549999999</c:v>
                </c:pt>
                <c:pt idx="4">
                  <c:v>1686320.1540000001</c:v>
                </c:pt>
                <c:pt idx="5">
                  <c:v>1827790.57</c:v>
                </c:pt>
                <c:pt idx="6">
                  <c:v>1908646.223</c:v>
                </c:pt>
                <c:pt idx="7">
                  <c:v>2044385.8859999999</c:v>
                </c:pt>
                <c:pt idx="8">
                  <c:v>2222942.0869999998</c:v>
                </c:pt>
                <c:pt idx="9">
                  <c:v>2329942.4309999999</c:v>
                </c:pt>
                <c:pt idx="10">
                  <c:v>2431218.9410000001</c:v>
                </c:pt>
                <c:pt idx="11">
                  <c:v>2353759.1830000002</c:v>
                </c:pt>
                <c:pt idx="12">
                  <c:v>2277821.7889999999</c:v>
                </c:pt>
                <c:pt idx="13">
                  <c:v>2402242.7349999999</c:v>
                </c:pt>
                <c:pt idx="14">
                  <c:v>2503646.1469999999</c:v>
                </c:pt>
                <c:pt idx="15">
                  <c:v>2620932.4330000002</c:v>
                </c:pt>
                <c:pt idx="16">
                  <c:v>2742206.4029999999</c:v>
                </c:pt>
                <c:pt idx="17">
                  <c:v>2937083.0669999998</c:v>
                </c:pt>
                <c:pt idx="18">
                  <c:v>3069378.22</c:v>
                </c:pt>
                <c:pt idx="19">
                  <c:v>3204138.3790000002</c:v>
                </c:pt>
                <c:pt idx="20">
                  <c:v>3525609.6170000001</c:v>
                </c:pt>
                <c:pt idx="21">
                  <c:v>3678734.4950000001</c:v>
                </c:pt>
                <c:pt idx="22">
                  <c:v>3373354.3840000001</c:v>
                </c:pt>
                <c:pt idx="23">
                  <c:v>3550673.3029999998</c:v>
                </c:pt>
                <c:pt idx="24">
                  <c:v>4042486.1889999998</c:v>
                </c:pt>
                <c:pt idx="25">
                  <c:v>4375119.1189999999</c:v>
                </c:pt>
                <c:pt idx="26">
                  <c:v>4439362.3710000003</c:v>
                </c:pt>
                <c:pt idx="27">
                  <c:v>4644538.8849999998</c:v>
                </c:pt>
                <c:pt idx="28">
                  <c:v>4890737.75</c:v>
                </c:pt>
                <c:pt idx="29">
                  <c:v>4614926.0140000004</c:v>
                </c:pt>
                <c:pt idx="30">
                  <c:v>5076371.0750000002</c:v>
                </c:pt>
                <c:pt idx="31">
                  <c:v>5610243.1430000002</c:v>
                </c:pt>
                <c:pt idx="32">
                  <c:v>5826046.4280000003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'TrendMA  (2)'!$W$2</c:f>
              <c:strCache>
                <c:ptCount val="1"/>
                <c:pt idx="0">
                  <c:v>Forecast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xVal>
            <c:numRef>
              <c:f>'TrendMA  (2)'!$R$3:$R$39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xVal>
          <c:yVal>
            <c:numRef>
              <c:f>'TrendMA  (2)'!$W$3:$W$39</c:f>
              <c:numCache>
                <c:formatCode>General</c:formatCode>
                <c:ptCount val="37"/>
                <c:pt idx="8" formatCode="_(* #,##0_);_(* \(#,##0\);_(* &quot;-&quot;??_);_(@_)">
                  <c:v>2188103.7734285714</c:v>
                </c:pt>
                <c:pt idx="9" formatCode="_(* #,##0_);_(* \(#,##0\);_(* &quot;-&quot;??_);_(@_)">
                  <c:v>2323733.5945714284</c:v>
                </c:pt>
                <c:pt idx="10" formatCode="_(* #,##0_);_(* \(#,##0\);_(* &quot;-&quot;??_);_(@_)">
                  <c:v>2456456.296285714</c:v>
                </c:pt>
                <c:pt idx="11" formatCode="_(* #,##0_);_(* \(#,##0\);_(* &quot;-&quot;??_);_(@_)">
                  <c:v>2588121.0051428573</c:v>
                </c:pt>
                <c:pt idx="12" formatCode="_(* #,##0_);_(* \(#,##0\);_(* &quot;-&quot;??_);_(@_)">
                  <c:v>2541205.9195714281</c:v>
                </c:pt>
                <c:pt idx="13" formatCode="_(* #,##0_);_(* \(#,##0\);_(* &quot;-&quot;??_);_(@_)">
                  <c:v>2481263.0594285713</c:v>
                </c:pt>
                <c:pt idx="14" formatCode="_(* #,##0_);_(* \(#,##0\);_(* &quot;-&quot;??_);_(@_)">
                  <c:v>2576671.2999999993</c:v>
                </c:pt>
                <c:pt idx="15" formatCode="_(* #,##0_);_(* \(#,##0\);_(* &quot;-&quot;??_);_(@_)">
                  <c:v>2622659.1938571422</c:v>
                </c:pt>
                <c:pt idx="16" formatCode="_(* #,##0_);_(* \(#,##0\);_(* &quot;-&quot;??_);_(@_)">
                  <c:v>2644503.5775714293</c:v>
                </c:pt>
                <c:pt idx="17" formatCode="_(* #,##0_);_(* \(#,##0\);_(* &quot;-&quot;??_);_(@_)">
                  <c:v>2711554.788428572</c:v>
                </c:pt>
                <c:pt idx="18" formatCode="_(* #,##0_);_(* \(#,##0\);_(* &quot;-&quot;??_);_(@_)">
                  <c:v>2837306.8944285712</c:v>
                </c:pt>
                <c:pt idx="19" formatCode="_(* #,##0_);_(* \(#,##0\);_(* &quot;-&quot;??_);_(@_)">
                  <c:v>3059398.1345714284</c:v>
                </c:pt>
                <c:pt idx="20" formatCode="_(* #,##0_);_(* \(#,##0\);_(* &quot;-&quot;??_);_(@_)">
                  <c:v>3312127.6777142859</c:v>
                </c:pt>
                <c:pt idx="21" formatCode="_(* #,##0_);_(* \(#,##0\);_(* &quot;-&quot;??_);_(@_)">
                  <c:v>3585208.8277142858</c:v>
                </c:pt>
                <c:pt idx="22" formatCode="_(* #,##0_);_(* \(#,##0\);_(* &quot;-&quot;??_);_(@_)">
                  <c:v>3782633.7151428573</c:v>
                </c:pt>
                <c:pt idx="23" formatCode="_(* #,##0_);_(* \(#,##0\);_(* &quot;-&quot;??_);_(@_)">
                  <c:v>3648598.9098571432</c:v>
                </c:pt>
                <c:pt idx="24" formatCode="_(* #,##0_);_(* \(#,##0\);_(* &quot;-&quot;??_);_(@_)">
                  <c:v>3796119.8664285713</c:v>
                </c:pt>
                <c:pt idx="25" formatCode="_(* #,##0_);_(* \(#,##0\);_(* &quot;-&quot;??_);_(@_)">
                  <c:v>4123712.4392857137</c:v>
                </c:pt>
                <c:pt idx="26" formatCode="_(* #,##0_);_(* \(#,##0\);_(* &quot;-&quot;??_);_(@_)">
                  <c:v>4424725.5831428571</c:v>
                </c:pt>
                <c:pt idx="27" formatCode="_(* #,##0_);_(* \(#,##0\);_(* &quot;-&quot;??_);_(@_)">
                  <c:v>4560890.7779999999</c:v>
                </c:pt>
                <c:pt idx="28" formatCode="_(* #,##0_);_(* \(#,##0\);_(* &quot;-&quot;??_);_(@_)">
                  <c:v>4654283.688285714</c:v>
                </c:pt>
                <c:pt idx="29" formatCode="_(* #,##0_);_(* \(#,##0\);_(* &quot;-&quot;??_);_(@_)">
                  <c:v>4880612.1458571432</c:v>
                </c:pt>
                <c:pt idx="30" formatCode="_(* #,##0_);_(* \(#,##0\);_(* &quot;-&quot;??_);_(@_)">
                  <c:v>5074875.7358571431</c:v>
                </c:pt>
                <c:pt idx="31" formatCode="_(* #,##0_);_(* \(#,##0\);_(* &quot;-&quot;??_);_(@_)">
                  <c:v>5455190.3558571432</c:v>
                </c:pt>
                <c:pt idx="32" formatCode="_(* #,##0_);_(* \(#,##0\);_(* &quot;-&quot;??_);_(@_)">
                  <c:v>5703189.4532857146</c:v>
                </c:pt>
                <c:pt idx="33" formatCode="_(* #,##0_);_(* \(#,##0\);_(* &quot;-&quot;??_);_(@_)">
                  <c:v>5843704.9860000005</c:v>
                </c:pt>
                <c:pt idx="34" formatCode="_(* #,##0_);_(* \(#,##0\);_(* &quot;-&quot;??_);_(@_)">
                  <c:v>6050980.3158571431</c:v>
                </c:pt>
                <c:pt idx="35" formatCode="_(* #,##0_);_(* \(#,##0\);_(* &quot;-&quot;??_);_(@_)">
                  <c:v>6258255.6457142858</c:v>
                </c:pt>
                <c:pt idx="36" formatCode="_(* #,##0_);_(* \(#,##0\);_(* &quot;-&quot;??_);_(@_)">
                  <c:v>6465530.9755714284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57936"/>
        <c:axId val="287158496"/>
      </c:scatterChart>
      <c:valAx>
        <c:axId val="287157936"/>
        <c:scaling>
          <c:orientation val="minMax"/>
          <c:min val="1980"/>
        </c:scaling>
        <c:delete val="0"/>
        <c:axPos val="b"/>
        <c:title>
          <c:tx>
            <c:strRef>
              <c:f>'TrendMA  (2)'!$R$2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158496"/>
        <c:crosses val="autoZero"/>
        <c:crossBetween val="midCat"/>
      </c:valAx>
      <c:valAx>
        <c:axId val="28715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157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Graphing!$F$2</c:f>
              <c:strCache>
                <c:ptCount val="1"/>
                <c:pt idx="0">
                  <c:v>General Government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Graphing!$E$3:$E$35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Graphing!$F$3:$F$35</c:f>
              <c:numCache>
                <c:formatCode>_(* #,##0_);_(* \(#,##0\);_(* "-"??_);_(@_)</c:formatCode>
                <c:ptCount val="33"/>
                <c:pt idx="0">
                  <c:v>245.25833499999999</c:v>
                </c:pt>
                <c:pt idx="1">
                  <c:v>245.455185</c:v>
                </c:pt>
                <c:pt idx="2">
                  <c:v>251.97509099999999</c:v>
                </c:pt>
                <c:pt idx="3">
                  <c:v>176.49361500000001</c:v>
                </c:pt>
                <c:pt idx="4">
                  <c:v>192.64390499999999</c:v>
                </c:pt>
                <c:pt idx="5">
                  <c:v>205.966632</c:v>
                </c:pt>
                <c:pt idx="6">
                  <c:v>222.153122</c:v>
                </c:pt>
                <c:pt idx="7">
                  <c:v>241.41172399999999</c:v>
                </c:pt>
                <c:pt idx="8">
                  <c:v>253.065923</c:v>
                </c:pt>
                <c:pt idx="9">
                  <c:v>285.80559199999999</c:v>
                </c:pt>
                <c:pt idx="10">
                  <c:v>298.44491599999998</c:v>
                </c:pt>
                <c:pt idx="11">
                  <c:v>336.58532300000002</c:v>
                </c:pt>
                <c:pt idx="12">
                  <c:v>368.72906999999998</c:v>
                </c:pt>
                <c:pt idx="13">
                  <c:v>396.878018</c:v>
                </c:pt>
                <c:pt idx="14">
                  <c:v>388.86926</c:v>
                </c:pt>
                <c:pt idx="15">
                  <c:v>396.078734</c:v>
                </c:pt>
                <c:pt idx="16">
                  <c:v>415.39713999999998</c:v>
                </c:pt>
                <c:pt idx="17">
                  <c:v>428.22153900000001</c:v>
                </c:pt>
                <c:pt idx="18">
                  <c:v>434.71341100000001</c:v>
                </c:pt>
                <c:pt idx="19">
                  <c:v>439.75703299999998</c:v>
                </c:pt>
                <c:pt idx="20">
                  <c:v>438.99600099999998</c:v>
                </c:pt>
                <c:pt idx="21">
                  <c:v>439.18664100000001</c:v>
                </c:pt>
                <c:pt idx="22">
                  <c:v>461.18186700000001</c:v>
                </c:pt>
                <c:pt idx="23">
                  <c:v>500.60200500000002</c:v>
                </c:pt>
                <c:pt idx="24">
                  <c:v>592.26868999999999</c:v>
                </c:pt>
                <c:pt idx="25">
                  <c:v>613.90511900000001</c:v>
                </c:pt>
                <c:pt idx="26">
                  <c:v>611.315742</c:v>
                </c:pt>
                <c:pt idx="27">
                  <c:v>613.16170699999998</c:v>
                </c:pt>
                <c:pt idx="28">
                  <c:v>638.21356300000002</c:v>
                </c:pt>
                <c:pt idx="29">
                  <c:v>687.05967499999997</c:v>
                </c:pt>
                <c:pt idx="30">
                  <c:v>745.94907000000001</c:v>
                </c:pt>
                <c:pt idx="31">
                  <c:v>776.04077900000004</c:v>
                </c:pt>
                <c:pt idx="32">
                  <c:v>850.00533099999996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906048"/>
        <c:axId val="351906608"/>
      </c:scatterChart>
      <c:valAx>
        <c:axId val="351906048"/>
        <c:scaling>
          <c:orientation val="minMax"/>
          <c:max val="2013"/>
          <c:min val="1980"/>
        </c:scaling>
        <c:delete val="0"/>
        <c:axPos val="b"/>
        <c:title>
          <c:tx>
            <c:strRef>
              <c:f>Graphing!$E$2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906608"/>
        <c:crosses val="autoZero"/>
        <c:crossBetween val="midCat"/>
      </c:valAx>
      <c:valAx>
        <c:axId val="35190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Graphing!$F$1</c:f>
              <c:strCache>
                <c:ptCount val="1"/>
                <c:pt idx="0">
                  <c:v>$ Millions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90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Outliers!$F$2</c:f>
              <c:strCache>
                <c:ptCount val="1"/>
                <c:pt idx="0">
                  <c:v>Rental Income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Outliers!$F$3:$F$35</c:f>
              <c:numCache>
                <c:formatCode>_(* #,##0_);_(* \(#,##0\);_(* "-"??_);_(@_)</c:formatCode>
                <c:ptCount val="33"/>
                <c:pt idx="0">
                  <c:v>75.713783000000006</c:v>
                </c:pt>
                <c:pt idx="1">
                  <c:v>84.865061999999995</c:v>
                </c:pt>
                <c:pt idx="2">
                  <c:v>91.156329999999997</c:v>
                </c:pt>
                <c:pt idx="3">
                  <c:v>113.513166</c:v>
                </c:pt>
                <c:pt idx="4">
                  <c:v>114.34482</c:v>
                </c:pt>
                <c:pt idx="5">
                  <c:v>140.74942999999999</c:v>
                </c:pt>
                <c:pt idx="6">
                  <c:v>180.924441</c:v>
                </c:pt>
                <c:pt idx="7">
                  <c:v>188.42977500000001</c:v>
                </c:pt>
                <c:pt idx="8">
                  <c:v>202.431161</c:v>
                </c:pt>
                <c:pt idx="9">
                  <c:v>187.32831899999999</c:v>
                </c:pt>
                <c:pt idx="10">
                  <c:v>207.41287199999999</c:v>
                </c:pt>
                <c:pt idx="11">
                  <c:v>169.527095</c:v>
                </c:pt>
                <c:pt idx="12">
                  <c:v>157.86638400000001</c:v>
                </c:pt>
                <c:pt idx="13">
                  <c:v>161.76284000000001</c:v>
                </c:pt>
                <c:pt idx="14">
                  <c:v>132.81151199999999</c:v>
                </c:pt>
                <c:pt idx="15">
                  <c:v>126.530545</c:v>
                </c:pt>
                <c:pt idx="16">
                  <c:v>138.722981</c:v>
                </c:pt>
                <c:pt idx="17">
                  <c:v>142.96216799999999</c:v>
                </c:pt>
                <c:pt idx="18">
                  <c:v>151.38879700000001</c:v>
                </c:pt>
                <c:pt idx="19">
                  <c:v>114.25098199999999</c:v>
                </c:pt>
                <c:pt idx="20">
                  <c:v>138.916302</c:v>
                </c:pt>
                <c:pt idx="21">
                  <c:v>153.86925299999999</c:v>
                </c:pt>
                <c:pt idx="22">
                  <c:v>114.893687</c:v>
                </c:pt>
                <c:pt idx="23">
                  <c:v>108.56427499999999</c:v>
                </c:pt>
                <c:pt idx="24">
                  <c:v>107.737927</c:v>
                </c:pt>
                <c:pt idx="25">
                  <c:v>943.69427700000006</c:v>
                </c:pt>
                <c:pt idx="26">
                  <c:v>209.189168</c:v>
                </c:pt>
                <c:pt idx="27">
                  <c:v>211.27633499999999</c:v>
                </c:pt>
                <c:pt idx="28">
                  <c:v>256.80494199999998</c:v>
                </c:pt>
                <c:pt idx="29">
                  <c:v>255.433694</c:v>
                </c:pt>
                <c:pt idx="30">
                  <c:v>234.38808800000001</c:v>
                </c:pt>
                <c:pt idx="31">
                  <c:v>253.40296000000001</c:v>
                </c:pt>
                <c:pt idx="32">
                  <c:v>291.22457300000002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791856"/>
        <c:axId val="394792416"/>
      </c:scatterChart>
      <c:valAx>
        <c:axId val="394791856"/>
        <c:scaling>
          <c:orientation val="minMax"/>
          <c:max val="2013"/>
          <c:min val="19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792416"/>
        <c:crosses val="autoZero"/>
        <c:crossBetween val="midCat"/>
      </c:valAx>
      <c:valAx>
        <c:axId val="39479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79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Rental Income Adjusted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Outliers!$F$2</c:f>
              <c:strCache>
                <c:ptCount val="1"/>
                <c:pt idx="0">
                  <c:v>Rental Income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Outliers!$F$3:$F$35</c:f>
              <c:numCache>
                <c:formatCode>_(* #,##0_);_(* \(#,##0\);_(* "-"??_);_(@_)</c:formatCode>
                <c:ptCount val="33"/>
                <c:pt idx="0">
                  <c:v>75.713783000000006</c:v>
                </c:pt>
                <c:pt idx="1">
                  <c:v>84.865061999999995</c:v>
                </c:pt>
                <c:pt idx="2">
                  <c:v>91.156329999999997</c:v>
                </c:pt>
                <c:pt idx="3">
                  <c:v>113.513166</c:v>
                </c:pt>
                <c:pt idx="4">
                  <c:v>114.34482</c:v>
                </c:pt>
                <c:pt idx="5">
                  <c:v>140.74942999999999</c:v>
                </c:pt>
                <c:pt idx="6">
                  <c:v>180.924441</c:v>
                </c:pt>
                <c:pt idx="7">
                  <c:v>188.42977500000001</c:v>
                </c:pt>
                <c:pt idx="8">
                  <c:v>202.431161</c:v>
                </c:pt>
                <c:pt idx="9">
                  <c:v>187.32831899999999</c:v>
                </c:pt>
                <c:pt idx="10">
                  <c:v>207.41287199999999</c:v>
                </c:pt>
                <c:pt idx="11">
                  <c:v>169.527095</c:v>
                </c:pt>
                <c:pt idx="12">
                  <c:v>157.86638400000001</c:v>
                </c:pt>
                <c:pt idx="13">
                  <c:v>161.76284000000001</c:v>
                </c:pt>
                <c:pt idx="14">
                  <c:v>132.81151199999999</c:v>
                </c:pt>
                <c:pt idx="15">
                  <c:v>126.530545</c:v>
                </c:pt>
                <c:pt idx="16">
                  <c:v>138.722981</c:v>
                </c:pt>
                <c:pt idx="17">
                  <c:v>142.96216799999999</c:v>
                </c:pt>
                <c:pt idx="18">
                  <c:v>151.38879700000001</c:v>
                </c:pt>
                <c:pt idx="19">
                  <c:v>114.25098199999999</c:v>
                </c:pt>
                <c:pt idx="20">
                  <c:v>138.916302</c:v>
                </c:pt>
                <c:pt idx="21">
                  <c:v>153.86925299999999</c:v>
                </c:pt>
                <c:pt idx="22">
                  <c:v>114.893687</c:v>
                </c:pt>
                <c:pt idx="23">
                  <c:v>108.56427499999999</c:v>
                </c:pt>
                <c:pt idx="24">
                  <c:v>107.737927</c:v>
                </c:pt>
                <c:pt idx="25">
                  <c:v>943.69427700000006</c:v>
                </c:pt>
                <c:pt idx="26">
                  <c:v>209.189168</c:v>
                </c:pt>
                <c:pt idx="27">
                  <c:v>211.27633499999999</c:v>
                </c:pt>
                <c:pt idx="28">
                  <c:v>256.80494199999998</c:v>
                </c:pt>
                <c:pt idx="29">
                  <c:v>255.433694</c:v>
                </c:pt>
                <c:pt idx="30">
                  <c:v>234.38808800000001</c:v>
                </c:pt>
                <c:pt idx="31">
                  <c:v>253.40296000000001</c:v>
                </c:pt>
                <c:pt idx="32">
                  <c:v>291.22457300000002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Outliers!$G$2</c:f>
              <c:strCache>
                <c:ptCount val="1"/>
                <c:pt idx="0">
                  <c:v>Rental Income Adjusted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Outliers!$E$3:$E$35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Outliers!$G$3:$G$35</c:f>
              <c:numCache>
                <c:formatCode>General</c:formatCode>
                <c:ptCount val="33"/>
                <c:pt idx="25" formatCode="_(* #,##0.00_);_(* \(#,##0.00\);_(* &quot;-&quot;??_);_(@_)">
                  <c:v>626.1402031069573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867600"/>
        <c:axId val="367868160"/>
      </c:scatterChart>
      <c:valAx>
        <c:axId val="367867600"/>
        <c:scaling>
          <c:orientation val="minMax"/>
          <c:max val="2013"/>
          <c:min val="19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868160"/>
        <c:crosses val="autoZero"/>
        <c:crossBetween val="midCat"/>
      </c:valAx>
      <c:valAx>
        <c:axId val="36786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867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Rev Per Gal/Lag 1  Residual Plot</a:t>
            </a:r>
          </a:p>
        </c:rich>
      </c:tx>
      <c:layout>
        <c:manualLayout>
          <c:xMode val="edge"/>
          <c:yMode val="edge"/>
          <c:x val="0.18948270241337722"/>
          <c:y val="2.366863170149196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'Water&amp;Sewer'!$AL$67:$AL$95</c:f>
              <c:numCache>
                <c:formatCode>General</c:formatCode>
                <c:ptCount val="29"/>
                <c:pt idx="0">
                  <c:v>4.3177278429613608E-3</c:v>
                </c:pt>
                <c:pt idx="1">
                  <c:v>-3.9055396823286515E-2</c:v>
                </c:pt>
                <c:pt idx="2">
                  <c:v>3.2296194197877881E-2</c:v>
                </c:pt>
                <c:pt idx="3">
                  <c:v>-8.083804456976651E-3</c:v>
                </c:pt>
                <c:pt idx="4">
                  <c:v>3.0897406442900177E-3</c:v>
                </c:pt>
                <c:pt idx="5">
                  <c:v>3.7596509306062842E-2</c:v>
                </c:pt>
                <c:pt idx="6">
                  <c:v>-4.3683992438092289E-2</c:v>
                </c:pt>
                <c:pt idx="7">
                  <c:v>-3.6884798784150519E-2</c:v>
                </c:pt>
                <c:pt idx="8">
                  <c:v>6.8510420894885016E-2</c:v>
                </c:pt>
                <c:pt idx="9">
                  <c:v>-6.635273740217329E-3</c:v>
                </c:pt>
                <c:pt idx="10">
                  <c:v>-9.8250155315700027E-3</c:v>
                </c:pt>
                <c:pt idx="11">
                  <c:v>5.0358107423136289E-3</c:v>
                </c:pt>
                <c:pt idx="12">
                  <c:v>1.5851048908684717E-2</c:v>
                </c:pt>
                <c:pt idx="13">
                  <c:v>-2.2998816864957305E-2</c:v>
                </c:pt>
                <c:pt idx="14">
                  <c:v>-4.5289535352726062E-3</c:v>
                </c:pt>
                <c:pt idx="15">
                  <c:v>-1.8991278485403384E-2</c:v>
                </c:pt>
                <c:pt idx="16">
                  <c:v>1.1992724178577774E-2</c:v>
                </c:pt>
                <c:pt idx="17">
                  <c:v>1.3430290431491798E-2</c:v>
                </c:pt>
                <c:pt idx="18">
                  <c:v>-4.1913399951754471E-2</c:v>
                </c:pt>
                <c:pt idx="19">
                  <c:v>4.9121855651002022E-4</c:v>
                </c:pt>
                <c:pt idx="20">
                  <c:v>1.3658272573660923E-2</c:v>
                </c:pt>
                <c:pt idx="21">
                  <c:v>1.9851860659212406E-3</c:v>
                </c:pt>
                <c:pt idx="22">
                  <c:v>-1.7334072295421166E-2</c:v>
                </c:pt>
                <c:pt idx="23">
                  <c:v>9.5447777501256326E-4</c:v>
                </c:pt>
                <c:pt idx="24">
                  <c:v>-1.7809466733410773E-2</c:v>
                </c:pt>
                <c:pt idx="25">
                  <c:v>1.7027010807769472E-2</c:v>
                </c:pt>
                <c:pt idx="26">
                  <c:v>7.5751132880093053E-3</c:v>
                </c:pt>
                <c:pt idx="27">
                  <c:v>2.4405061953521212E-2</c:v>
                </c:pt>
                <c:pt idx="28">
                  <c:v>9.5274614730520568E-3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128000"/>
        <c:axId val="387128560"/>
      </c:scatterChart>
      <c:valAx>
        <c:axId val="38712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 Per Gal/Lag 1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87128560"/>
        <c:crosses val="autoZero"/>
        <c:crossBetween val="midCat"/>
      </c:valAx>
      <c:valAx>
        <c:axId val="38712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712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Thousand Gallons Per Cap/Lag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'Water&amp;Sewer'!$AL$67:$AL$95</c:f>
              <c:numCache>
                <c:formatCode>General</c:formatCode>
                <c:ptCount val="29"/>
                <c:pt idx="0">
                  <c:v>4.3177278429613608E-3</c:v>
                </c:pt>
                <c:pt idx="1">
                  <c:v>-3.9055396823286515E-2</c:v>
                </c:pt>
                <c:pt idx="2">
                  <c:v>3.2296194197877881E-2</c:v>
                </c:pt>
                <c:pt idx="3">
                  <c:v>-8.083804456976651E-3</c:v>
                </c:pt>
                <c:pt idx="4">
                  <c:v>3.0897406442900177E-3</c:v>
                </c:pt>
                <c:pt idx="5">
                  <c:v>3.7596509306062842E-2</c:v>
                </c:pt>
                <c:pt idx="6">
                  <c:v>-4.3683992438092289E-2</c:v>
                </c:pt>
                <c:pt idx="7">
                  <c:v>-3.6884798784150519E-2</c:v>
                </c:pt>
                <c:pt idx="8">
                  <c:v>6.8510420894885016E-2</c:v>
                </c:pt>
                <c:pt idx="9">
                  <c:v>-6.635273740217329E-3</c:v>
                </c:pt>
                <c:pt idx="10">
                  <c:v>-9.8250155315700027E-3</c:v>
                </c:pt>
                <c:pt idx="11">
                  <c:v>5.0358107423136289E-3</c:v>
                </c:pt>
                <c:pt idx="12">
                  <c:v>1.5851048908684717E-2</c:v>
                </c:pt>
                <c:pt idx="13">
                  <c:v>-2.2998816864957305E-2</c:v>
                </c:pt>
                <c:pt idx="14">
                  <c:v>-4.5289535352726062E-3</c:v>
                </c:pt>
                <c:pt idx="15">
                  <c:v>-1.8991278485403384E-2</c:v>
                </c:pt>
                <c:pt idx="16">
                  <c:v>1.1992724178577774E-2</c:v>
                </c:pt>
                <c:pt idx="17">
                  <c:v>1.3430290431491798E-2</c:v>
                </c:pt>
                <c:pt idx="18">
                  <c:v>-4.1913399951754471E-2</c:v>
                </c:pt>
                <c:pt idx="19">
                  <c:v>4.9121855651002022E-4</c:v>
                </c:pt>
                <c:pt idx="20">
                  <c:v>1.3658272573660923E-2</c:v>
                </c:pt>
                <c:pt idx="21">
                  <c:v>1.9851860659212406E-3</c:v>
                </c:pt>
                <c:pt idx="22">
                  <c:v>-1.7334072295421166E-2</c:v>
                </c:pt>
                <c:pt idx="23">
                  <c:v>9.5447777501256326E-4</c:v>
                </c:pt>
                <c:pt idx="24">
                  <c:v>-1.7809466733410773E-2</c:v>
                </c:pt>
                <c:pt idx="25">
                  <c:v>1.7027010807769472E-2</c:v>
                </c:pt>
                <c:pt idx="26">
                  <c:v>7.5751132880093053E-3</c:v>
                </c:pt>
                <c:pt idx="27">
                  <c:v>2.4405061953521212E-2</c:v>
                </c:pt>
                <c:pt idx="28">
                  <c:v>9.5274614730520568E-3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903984"/>
        <c:axId val="386904544"/>
      </c:scatterChart>
      <c:valAx>
        <c:axId val="38690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Thousand Gallons Per Cap/Lag 1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386904544"/>
        <c:crosses val="autoZero"/>
        <c:crossBetween val="midCat"/>
      </c:valAx>
      <c:valAx>
        <c:axId val="38690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690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Rev Per Gal/Lag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 Revenue</c:v>
          </c:tx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'Water&amp;Sewer'!$AG$14:$AG$42</c:f>
              <c:numCache>
                <c:formatCode>0.000</c:formatCode>
                <c:ptCount val="29"/>
                <c:pt idx="0">
                  <c:v>8.4179013424611906</c:v>
                </c:pt>
                <c:pt idx="1">
                  <c:v>8.4225618954016177</c:v>
                </c:pt>
                <c:pt idx="2">
                  <c:v>8.5040997975013095</c:v>
                </c:pt>
                <c:pt idx="3">
                  <c:v>8.5376143506113547</c:v>
                </c:pt>
                <c:pt idx="4">
                  <c:v>8.5777321876741457</c:v>
                </c:pt>
                <c:pt idx="5">
                  <c:v>8.648933599525531</c:v>
                </c:pt>
                <c:pt idx="6">
                  <c:v>8.6412314872934832</c:v>
                </c:pt>
                <c:pt idx="7">
                  <c:v>8.6381362107904724</c:v>
                </c:pt>
                <c:pt idx="8">
                  <c:v>8.7369000261338225</c:v>
                </c:pt>
                <c:pt idx="9">
                  <c:v>8.7569221387995011</c:v>
                </c:pt>
                <c:pt idx="10">
                  <c:v>8.7755214460140643</c:v>
                </c:pt>
                <c:pt idx="11">
                  <c:v>8.8089694636989098</c:v>
                </c:pt>
                <c:pt idx="12">
                  <c:v>8.8507208667790653</c:v>
                </c:pt>
                <c:pt idx="13">
                  <c:v>8.8560310808545228</c:v>
                </c:pt>
                <c:pt idx="14">
                  <c:v>8.8683865978106233</c:v>
                </c:pt>
                <c:pt idx="15">
                  <c:v>8.8638955167207421</c:v>
                </c:pt>
                <c:pt idx="16">
                  <c:v>8.8894800113076808</c:v>
                </c:pt>
                <c:pt idx="17">
                  <c:v>8.9152943695859914</c:v>
                </c:pt>
                <c:pt idx="18">
                  <c:v>8.8907852720518417</c:v>
                </c:pt>
                <c:pt idx="19">
                  <c:v>8.9037708165824867</c:v>
                </c:pt>
                <c:pt idx="20">
                  <c:v>8.9255827670471284</c:v>
                </c:pt>
                <c:pt idx="21">
                  <c:v>8.9334400104482974</c:v>
                </c:pt>
                <c:pt idx="22">
                  <c:v>8.927550894992379</c:v>
                </c:pt>
                <c:pt idx="23">
                  <c:v>8.9468181081325078</c:v>
                </c:pt>
                <c:pt idx="24">
                  <c:v>8.9539162042248126</c:v>
                </c:pt>
                <c:pt idx="25">
                  <c:v>8.9954356650306391</c:v>
                </c:pt>
                <c:pt idx="26">
                  <c:v>9.0268899626185402</c:v>
                </c:pt>
                <c:pt idx="27">
                  <c:v>9.0799731342399816</c:v>
                </c:pt>
                <c:pt idx="28">
                  <c:v>9.1083976531543929</c:v>
                </c:pt>
              </c:numCache>
            </c:numRef>
          </c:yVal>
          <c:smooth val="0"/>
        </c:ser>
        <c:ser>
          <c:idx val="1"/>
          <c:order val="1"/>
          <c:tx>
            <c:v>Predicted Log Revenue</c:v>
          </c:tx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'Water&amp;Sewer'!$AK$67:$AK$95</c:f>
              <c:numCache>
                <c:formatCode>General</c:formatCode>
                <c:ptCount val="29"/>
                <c:pt idx="0">
                  <c:v>8.4135836146182292</c:v>
                </c:pt>
                <c:pt idx="1">
                  <c:v>8.4616172922249042</c:v>
                </c:pt>
                <c:pt idx="2">
                  <c:v>8.4718036033034316</c:v>
                </c:pt>
                <c:pt idx="3">
                  <c:v>8.5456981550683313</c:v>
                </c:pt>
                <c:pt idx="4">
                  <c:v>8.5746424470298557</c:v>
                </c:pt>
                <c:pt idx="5">
                  <c:v>8.6113370902194681</c:v>
                </c:pt>
                <c:pt idx="6">
                  <c:v>8.6849154797315755</c:v>
                </c:pt>
                <c:pt idx="7">
                  <c:v>8.675021009574623</c:v>
                </c:pt>
                <c:pt idx="8">
                  <c:v>8.6683896052389375</c:v>
                </c:pt>
                <c:pt idx="9">
                  <c:v>8.7635574125397184</c:v>
                </c:pt>
                <c:pt idx="10">
                  <c:v>8.7853464615456343</c:v>
                </c:pt>
                <c:pt idx="11">
                  <c:v>8.8039336529565961</c:v>
                </c:pt>
                <c:pt idx="12">
                  <c:v>8.8348698178703806</c:v>
                </c:pt>
                <c:pt idx="13">
                  <c:v>8.8790298977194801</c:v>
                </c:pt>
                <c:pt idx="14">
                  <c:v>8.8729155513458959</c:v>
                </c:pt>
                <c:pt idx="15">
                  <c:v>8.8828867952061454</c:v>
                </c:pt>
                <c:pt idx="16">
                  <c:v>8.8774872871291031</c:v>
                </c:pt>
                <c:pt idx="17">
                  <c:v>8.9018640791544996</c:v>
                </c:pt>
                <c:pt idx="18">
                  <c:v>8.9326986720035961</c:v>
                </c:pt>
                <c:pt idx="19">
                  <c:v>8.9032795980259767</c:v>
                </c:pt>
                <c:pt idx="20">
                  <c:v>8.9119244944734675</c:v>
                </c:pt>
                <c:pt idx="21">
                  <c:v>8.9314548243823761</c:v>
                </c:pt>
                <c:pt idx="22">
                  <c:v>8.9448849672878001</c:v>
                </c:pt>
                <c:pt idx="23">
                  <c:v>8.9458636303574952</c:v>
                </c:pt>
                <c:pt idx="24">
                  <c:v>8.9717256709582234</c:v>
                </c:pt>
                <c:pt idx="25">
                  <c:v>8.9784086542228696</c:v>
                </c:pt>
                <c:pt idx="26">
                  <c:v>9.0193148493305308</c:v>
                </c:pt>
                <c:pt idx="27">
                  <c:v>9.0555680722864604</c:v>
                </c:pt>
                <c:pt idx="28">
                  <c:v>9.0988701916813408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907344"/>
        <c:axId val="367338640"/>
      </c:scatterChart>
      <c:valAx>
        <c:axId val="38690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 Per Gal/Lag 1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67338640"/>
        <c:crosses val="autoZero"/>
        <c:crossBetween val="midCat"/>
      </c:valAx>
      <c:valAx>
        <c:axId val="36733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Revenue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86907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157162</xdr:colOff>
      <xdr:row>9</xdr:row>
      <xdr:rowOff>57150</xdr:rowOff>
    </xdr:from>
    <xdr:to>
      <xdr:col>14</xdr:col>
      <xdr:colOff>461962</xdr:colOff>
      <xdr:row>26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171450</xdr:colOff>
      <xdr:row>24</xdr:row>
      <xdr:rowOff>85725</xdr:rowOff>
    </xdr:from>
    <xdr:to>
      <xdr:col>74</xdr:col>
      <xdr:colOff>476250</xdr:colOff>
      <xdr:row>41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67</xdr:col>
      <xdr:colOff>276225</xdr:colOff>
      <xdr:row>42</xdr:row>
      <xdr:rowOff>133350</xdr:rowOff>
    </xdr:from>
    <xdr:to>
      <xdr:col>74</xdr:col>
      <xdr:colOff>581025</xdr:colOff>
      <xdr:row>59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67</xdr:col>
      <xdr:colOff>219075</xdr:colOff>
      <xdr:row>61</xdr:row>
      <xdr:rowOff>9525</xdr:rowOff>
    </xdr:from>
    <xdr:to>
      <xdr:col>74</xdr:col>
      <xdr:colOff>523875</xdr:colOff>
      <xdr:row>78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133350</xdr:rowOff>
    </xdr:from>
    <xdr:to>
      <xdr:col>14</xdr:col>
      <xdr:colOff>433387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142875</xdr:colOff>
      <xdr:row>24</xdr:row>
      <xdr:rowOff>104775</xdr:rowOff>
    </xdr:from>
    <xdr:to>
      <xdr:col>49</xdr:col>
      <xdr:colOff>447675</xdr:colOff>
      <xdr:row>41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400050</xdr:colOff>
      <xdr:row>42</xdr:row>
      <xdr:rowOff>114300</xdr:rowOff>
    </xdr:from>
    <xdr:to>
      <xdr:col>50</xdr:col>
      <xdr:colOff>95250</xdr:colOff>
      <xdr:row>59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419100</xdr:colOff>
      <xdr:row>61</xdr:row>
      <xdr:rowOff>0</xdr:rowOff>
    </xdr:from>
    <xdr:to>
      <xdr:col>50</xdr:col>
      <xdr:colOff>114300</xdr:colOff>
      <xdr:row>77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133350</xdr:rowOff>
    </xdr:from>
    <xdr:to>
      <xdr:col>14</xdr:col>
      <xdr:colOff>433387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147637</xdr:colOff>
      <xdr:row>10</xdr:row>
      <xdr:rowOff>109537</xdr:rowOff>
    </xdr:from>
    <xdr:to>
      <xdr:col>34</xdr:col>
      <xdr:colOff>452437</xdr:colOff>
      <xdr:row>27</xdr:row>
      <xdr:rowOff>100012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133350</xdr:rowOff>
    </xdr:from>
    <xdr:to>
      <xdr:col>14</xdr:col>
      <xdr:colOff>433387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133350</xdr:rowOff>
    </xdr:from>
    <xdr:to>
      <xdr:col>14</xdr:col>
      <xdr:colOff>433387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171450</xdr:colOff>
      <xdr:row>10</xdr:row>
      <xdr:rowOff>76200</xdr:rowOff>
    </xdr:from>
    <xdr:to>
      <xdr:col>23</xdr:col>
      <xdr:colOff>476250</xdr:colOff>
      <xdr:row>27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28575</xdr:colOff>
      <xdr:row>96</xdr:row>
      <xdr:rowOff>123825</xdr:rowOff>
    </xdr:from>
    <xdr:to>
      <xdr:col>40</xdr:col>
      <xdr:colOff>371474</xdr:colOff>
      <xdr:row>116</xdr:row>
      <xdr:rowOff>104776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380999</xdr:colOff>
      <xdr:row>96</xdr:row>
      <xdr:rowOff>104775</xdr:rowOff>
    </xdr:from>
    <xdr:to>
      <xdr:col>46</xdr:col>
      <xdr:colOff>514349</xdr:colOff>
      <xdr:row>116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47624</xdr:colOff>
      <xdr:row>116</xdr:row>
      <xdr:rowOff>114300</xdr:rowOff>
    </xdr:from>
    <xdr:to>
      <xdr:col>40</xdr:col>
      <xdr:colOff>380999</xdr:colOff>
      <xdr:row>139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390524</xdr:colOff>
      <xdr:row>116</xdr:row>
      <xdr:rowOff>123824</xdr:rowOff>
    </xdr:from>
    <xdr:to>
      <xdr:col>46</xdr:col>
      <xdr:colOff>542924</xdr:colOff>
      <xdr:row>139</xdr:row>
      <xdr:rowOff>95249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133350</xdr:colOff>
      <xdr:row>39</xdr:row>
      <xdr:rowOff>114300</xdr:rowOff>
    </xdr:from>
    <xdr:to>
      <xdr:col>27</xdr:col>
      <xdr:colOff>561974</xdr:colOff>
      <xdr:row>57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85725</xdr:colOff>
      <xdr:row>58</xdr:row>
      <xdr:rowOff>19050</xdr:rowOff>
    </xdr:from>
    <xdr:to>
      <xdr:col>27</xdr:col>
      <xdr:colOff>600076</xdr:colOff>
      <xdr:row>74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171450</xdr:colOff>
      <xdr:row>39</xdr:row>
      <xdr:rowOff>114300</xdr:rowOff>
    </xdr:from>
    <xdr:to>
      <xdr:col>58</xdr:col>
      <xdr:colOff>304800</xdr:colOff>
      <xdr:row>57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142875</xdr:colOff>
      <xdr:row>57</xdr:row>
      <xdr:rowOff>114299</xdr:rowOff>
    </xdr:from>
    <xdr:to>
      <xdr:col>58</xdr:col>
      <xdr:colOff>285750</xdr:colOff>
      <xdr:row>74</xdr:row>
      <xdr:rowOff>123824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71</xdr:col>
      <xdr:colOff>523875</xdr:colOff>
      <xdr:row>37</xdr:row>
      <xdr:rowOff>95250</xdr:rowOff>
    </xdr:from>
    <xdr:to>
      <xdr:col>79</xdr:col>
      <xdr:colOff>381000</xdr:colOff>
      <xdr:row>54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71</xdr:col>
      <xdr:colOff>495300</xdr:colOff>
      <xdr:row>54</xdr:row>
      <xdr:rowOff>133349</xdr:rowOff>
    </xdr:from>
    <xdr:to>
      <xdr:col>79</xdr:col>
      <xdr:colOff>371475</xdr:colOff>
      <xdr:row>73</xdr:row>
      <xdr:rowOff>104774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79</xdr:col>
      <xdr:colOff>476250</xdr:colOff>
      <xdr:row>37</xdr:row>
      <xdr:rowOff>95250</xdr:rowOff>
    </xdr:from>
    <xdr:to>
      <xdr:col>87</xdr:col>
      <xdr:colOff>209550</xdr:colOff>
      <xdr:row>54</xdr:row>
      <xdr:rowOff>104775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>
    <row r="1" spans="1:1" x14ac:dyDescent="0.2">
      <c r="A1" t="s">
        <v>123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2" workbookViewId="0">
      <selection activeCell="S28" sqref="S28"/>
    </sheetView>
  </sheetViews>
  <sheetFormatPr defaultRowHeight="12.75" x14ac:dyDescent="0.2"/>
  <cols>
    <col min="4" max="4" width="12.28515625" bestFit="1" customWidth="1"/>
    <col min="6" max="6" width="13.7109375" customWidth="1"/>
  </cols>
  <sheetData>
    <row r="1" spans="1:15" x14ac:dyDescent="0.2">
      <c r="C1" s="14" t="s">
        <v>7</v>
      </c>
      <c r="D1" s="15" t="s">
        <v>6</v>
      </c>
      <c r="E1" s="14" t="s">
        <v>5</v>
      </c>
      <c r="F1" s="13" t="str">
        <f>IF(D3&gt;A3,B3,IF(D3&gt;A4,B4,B5))</f>
        <v>$ Millions</v>
      </c>
    </row>
    <row r="2" spans="1:15" s="9" customFormat="1" ht="25.5" x14ac:dyDescent="0.2">
      <c r="C2" s="9">
        <v>2</v>
      </c>
      <c r="D2" s="12" t="s">
        <v>4</v>
      </c>
      <c r="E2" s="11" t="s">
        <v>3</v>
      </c>
      <c r="F2" s="10" t="str">
        <f>TRIM(D2)</f>
        <v>General Government</v>
      </c>
    </row>
    <row r="3" spans="1:15" x14ac:dyDescent="0.2">
      <c r="A3" s="8">
        <v>1000000</v>
      </c>
      <c r="B3" s="7" t="s">
        <v>2</v>
      </c>
      <c r="C3">
        <v>3</v>
      </c>
      <c r="D3" s="2">
        <v>245258335</v>
      </c>
      <c r="E3">
        <v>1980</v>
      </c>
      <c r="F3" s="1">
        <f t="shared" ref="F3:F35" si="0">IF(D3&gt;$A$3,D3/$A$3,IF(D3&gt;$A$4,D3/$A$4,D3))</f>
        <v>245.25833499999999</v>
      </c>
    </row>
    <row r="4" spans="1:15" x14ac:dyDescent="0.2">
      <c r="A4" s="6">
        <v>1000</v>
      </c>
      <c r="B4" s="5" t="s">
        <v>1</v>
      </c>
      <c r="C4">
        <v>4</v>
      </c>
      <c r="D4" s="2">
        <v>245455185</v>
      </c>
      <c r="E4">
        <v>1981</v>
      </c>
      <c r="F4" s="1">
        <f t="shared" si="0"/>
        <v>245.455185</v>
      </c>
    </row>
    <row r="5" spans="1:15" x14ac:dyDescent="0.2">
      <c r="A5" s="4"/>
      <c r="B5" s="3" t="s">
        <v>0</v>
      </c>
      <c r="C5">
        <v>5</v>
      </c>
      <c r="D5" s="2">
        <v>251975091</v>
      </c>
      <c r="E5">
        <v>1982</v>
      </c>
      <c r="F5" s="1">
        <f t="shared" si="0"/>
        <v>251.97509099999999</v>
      </c>
    </row>
    <row r="6" spans="1:15" x14ac:dyDescent="0.2">
      <c r="C6">
        <v>6</v>
      </c>
      <c r="D6" s="2">
        <v>176493615</v>
      </c>
      <c r="E6">
        <v>1983</v>
      </c>
      <c r="F6" s="1">
        <f t="shared" si="0"/>
        <v>176.49361500000001</v>
      </c>
    </row>
    <row r="7" spans="1:15" x14ac:dyDescent="0.2">
      <c r="C7">
        <v>7</v>
      </c>
      <c r="D7" s="2">
        <v>192643905</v>
      </c>
      <c r="E7">
        <v>1984</v>
      </c>
      <c r="F7" s="1">
        <f t="shared" si="0"/>
        <v>192.64390499999999</v>
      </c>
    </row>
    <row r="8" spans="1:15" x14ac:dyDescent="0.2">
      <c r="C8">
        <v>8</v>
      </c>
      <c r="D8" s="2">
        <v>205966632</v>
      </c>
      <c r="E8">
        <v>1985</v>
      </c>
      <c r="F8" s="1">
        <f t="shared" si="0"/>
        <v>205.966632</v>
      </c>
    </row>
    <row r="9" spans="1:15" x14ac:dyDescent="0.2">
      <c r="C9">
        <v>9</v>
      </c>
      <c r="D9" s="2">
        <v>222153122</v>
      </c>
      <c r="E9">
        <v>1986</v>
      </c>
      <c r="F9" s="1">
        <f t="shared" si="0"/>
        <v>222.153122</v>
      </c>
    </row>
    <row r="10" spans="1:15" ht="13.5" thickBot="1" x14ac:dyDescent="0.25">
      <c r="C10">
        <v>10</v>
      </c>
      <c r="D10" s="2">
        <v>241411724</v>
      </c>
      <c r="E10">
        <v>1987</v>
      </c>
      <c r="F10" s="1">
        <f t="shared" si="0"/>
        <v>241.41172399999999</v>
      </c>
    </row>
    <row r="11" spans="1:15" x14ac:dyDescent="0.2">
      <c r="C11">
        <v>11</v>
      </c>
      <c r="D11" s="2">
        <v>253065923</v>
      </c>
      <c r="E11">
        <v>1988</v>
      </c>
      <c r="F11" s="1">
        <f t="shared" si="0"/>
        <v>253.065923</v>
      </c>
      <c r="H11" s="34"/>
      <c r="I11" s="35"/>
      <c r="J11" s="35"/>
      <c r="K11" s="35"/>
      <c r="L11" s="35"/>
      <c r="M11" s="35"/>
      <c r="N11" s="35"/>
      <c r="O11" s="28"/>
    </row>
    <row r="12" spans="1:15" x14ac:dyDescent="0.2">
      <c r="C12">
        <v>12</v>
      </c>
      <c r="D12" s="2">
        <v>285805592</v>
      </c>
      <c r="E12">
        <v>1989</v>
      </c>
      <c r="F12" s="1">
        <f t="shared" si="0"/>
        <v>285.80559199999999</v>
      </c>
      <c r="H12" s="29"/>
      <c r="I12" s="36"/>
      <c r="J12" s="36"/>
      <c r="K12" s="36"/>
      <c r="L12" s="36"/>
      <c r="M12" s="36"/>
      <c r="N12" s="36"/>
      <c r="O12" s="30"/>
    </row>
    <row r="13" spans="1:15" x14ac:dyDescent="0.2">
      <c r="C13">
        <v>13</v>
      </c>
      <c r="D13" s="2">
        <v>298444916</v>
      </c>
      <c r="E13">
        <v>1990</v>
      </c>
      <c r="F13" s="1">
        <f t="shared" si="0"/>
        <v>298.44491599999998</v>
      </c>
      <c r="H13" s="29"/>
      <c r="I13" s="36"/>
      <c r="J13" s="36"/>
      <c r="K13" s="36"/>
      <c r="L13" s="36"/>
      <c r="M13" s="36"/>
      <c r="N13" s="36"/>
      <c r="O13" s="30"/>
    </row>
    <row r="14" spans="1:15" x14ac:dyDescent="0.2">
      <c r="C14">
        <v>14</v>
      </c>
      <c r="D14" s="2">
        <v>336585323</v>
      </c>
      <c r="E14">
        <v>1991</v>
      </c>
      <c r="F14" s="1">
        <f t="shared" si="0"/>
        <v>336.58532300000002</v>
      </c>
      <c r="H14" s="29"/>
      <c r="I14" s="36"/>
      <c r="J14" s="36"/>
      <c r="K14" s="36"/>
      <c r="L14" s="36"/>
      <c r="M14" s="36"/>
      <c r="N14" s="36"/>
      <c r="O14" s="30"/>
    </row>
    <row r="15" spans="1:15" x14ac:dyDescent="0.2">
      <c r="C15">
        <v>15</v>
      </c>
      <c r="D15" s="2">
        <v>368729070</v>
      </c>
      <c r="E15">
        <v>1992</v>
      </c>
      <c r="F15" s="1">
        <f t="shared" si="0"/>
        <v>368.72906999999998</v>
      </c>
      <c r="H15" s="29"/>
      <c r="I15" s="36"/>
      <c r="J15" s="36"/>
      <c r="K15" s="36"/>
      <c r="L15" s="36"/>
      <c r="M15" s="36"/>
      <c r="N15" s="36"/>
      <c r="O15" s="30"/>
    </row>
    <row r="16" spans="1:15" x14ac:dyDescent="0.2">
      <c r="C16">
        <v>16</v>
      </c>
      <c r="D16" s="2">
        <v>396878018</v>
      </c>
      <c r="E16">
        <v>1993</v>
      </c>
      <c r="F16" s="1">
        <f t="shared" si="0"/>
        <v>396.878018</v>
      </c>
      <c r="H16" s="29"/>
      <c r="I16" s="36"/>
      <c r="J16" s="36"/>
      <c r="K16" s="36"/>
      <c r="L16" s="36"/>
      <c r="M16" s="36"/>
      <c r="N16" s="36"/>
      <c r="O16" s="30"/>
    </row>
    <row r="17" spans="3:15" x14ac:dyDescent="0.2">
      <c r="C17">
        <v>17</v>
      </c>
      <c r="D17" s="2">
        <v>388869260</v>
      </c>
      <c r="E17">
        <v>1994</v>
      </c>
      <c r="F17" s="1">
        <f t="shared" si="0"/>
        <v>388.86926</v>
      </c>
      <c r="H17" s="29"/>
      <c r="I17" s="36"/>
      <c r="J17" s="36"/>
      <c r="K17" s="36"/>
      <c r="L17" s="36"/>
      <c r="M17" s="36"/>
      <c r="N17" s="36"/>
      <c r="O17" s="30"/>
    </row>
    <row r="18" spans="3:15" x14ac:dyDescent="0.2">
      <c r="C18">
        <v>18</v>
      </c>
      <c r="D18" s="2">
        <v>396078734</v>
      </c>
      <c r="E18">
        <v>1995</v>
      </c>
      <c r="F18" s="1">
        <f t="shared" si="0"/>
        <v>396.078734</v>
      </c>
      <c r="H18" s="29"/>
      <c r="I18" s="36"/>
      <c r="J18" s="36"/>
      <c r="K18" s="36"/>
      <c r="L18" s="36"/>
      <c r="M18" s="36"/>
      <c r="N18" s="36"/>
      <c r="O18" s="30"/>
    </row>
    <row r="19" spans="3:15" x14ac:dyDescent="0.2">
      <c r="C19">
        <v>19</v>
      </c>
      <c r="D19" s="2">
        <v>415397140</v>
      </c>
      <c r="E19">
        <v>1996</v>
      </c>
      <c r="F19" s="1">
        <f t="shared" si="0"/>
        <v>415.39713999999998</v>
      </c>
      <c r="H19" s="29"/>
      <c r="I19" s="36"/>
      <c r="J19" s="36"/>
      <c r="K19" s="36"/>
      <c r="L19" s="36"/>
      <c r="M19" s="36"/>
      <c r="N19" s="36"/>
      <c r="O19" s="30"/>
    </row>
    <row r="20" spans="3:15" x14ac:dyDescent="0.2">
      <c r="C20">
        <v>20</v>
      </c>
      <c r="D20" s="2">
        <v>428221539</v>
      </c>
      <c r="E20">
        <v>1997</v>
      </c>
      <c r="F20" s="1">
        <f t="shared" si="0"/>
        <v>428.22153900000001</v>
      </c>
      <c r="H20" s="29"/>
      <c r="I20" s="36"/>
      <c r="J20" s="36"/>
      <c r="K20" s="36"/>
      <c r="L20" s="36"/>
      <c r="M20" s="36"/>
      <c r="N20" s="36"/>
      <c r="O20" s="30"/>
    </row>
    <row r="21" spans="3:15" x14ac:dyDescent="0.2">
      <c r="C21">
        <v>21</v>
      </c>
      <c r="D21" s="2">
        <v>434713411</v>
      </c>
      <c r="E21">
        <v>1998</v>
      </c>
      <c r="F21" s="1">
        <f t="shared" si="0"/>
        <v>434.71341100000001</v>
      </c>
      <c r="H21" s="29"/>
      <c r="I21" s="36"/>
      <c r="J21" s="36"/>
      <c r="K21" s="36"/>
      <c r="L21" s="36"/>
      <c r="M21" s="36"/>
      <c r="N21" s="36"/>
      <c r="O21" s="30"/>
    </row>
    <row r="22" spans="3:15" x14ac:dyDescent="0.2">
      <c r="C22">
        <v>22</v>
      </c>
      <c r="D22" s="2">
        <v>439757033</v>
      </c>
      <c r="E22">
        <v>1999</v>
      </c>
      <c r="F22" s="1">
        <f t="shared" si="0"/>
        <v>439.75703299999998</v>
      </c>
      <c r="H22" s="29"/>
      <c r="I22" s="36"/>
      <c r="J22" s="36"/>
      <c r="K22" s="36"/>
      <c r="L22" s="36"/>
      <c r="M22" s="36"/>
      <c r="N22" s="36"/>
      <c r="O22" s="30"/>
    </row>
    <row r="23" spans="3:15" x14ac:dyDescent="0.2">
      <c r="C23">
        <v>23</v>
      </c>
      <c r="D23" s="2">
        <v>438996001</v>
      </c>
      <c r="E23">
        <v>2000</v>
      </c>
      <c r="F23" s="1">
        <f t="shared" si="0"/>
        <v>438.99600099999998</v>
      </c>
      <c r="H23" s="29"/>
      <c r="I23" s="36"/>
      <c r="J23" s="36"/>
      <c r="K23" s="36"/>
      <c r="L23" s="36"/>
      <c r="M23" s="36"/>
      <c r="N23" s="36"/>
      <c r="O23" s="30"/>
    </row>
    <row r="24" spans="3:15" x14ac:dyDescent="0.2">
      <c r="C24">
        <v>24</v>
      </c>
      <c r="D24" s="2">
        <v>439186641</v>
      </c>
      <c r="E24">
        <v>2001</v>
      </c>
      <c r="F24" s="1">
        <f t="shared" si="0"/>
        <v>439.18664100000001</v>
      </c>
      <c r="H24" s="29"/>
      <c r="I24" s="36"/>
      <c r="J24" s="36"/>
      <c r="K24" s="36"/>
      <c r="L24" s="36"/>
      <c r="M24" s="36"/>
      <c r="N24" s="36"/>
      <c r="O24" s="30"/>
    </row>
    <row r="25" spans="3:15" x14ac:dyDescent="0.2">
      <c r="C25">
        <v>25</v>
      </c>
      <c r="D25" s="2">
        <v>461181867</v>
      </c>
      <c r="E25">
        <v>2002</v>
      </c>
      <c r="F25" s="1">
        <f t="shared" si="0"/>
        <v>461.18186700000001</v>
      </c>
      <c r="H25" s="29"/>
      <c r="I25" s="36"/>
      <c r="J25" s="36"/>
      <c r="K25" s="36"/>
      <c r="L25" s="36"/>
      <c r="M25" s="36"/>
      <c r="N25" s="36"/>
      <c r="O25" s="30"/>
    </row>
    <row r="26" spans="3:15" x14ac:dyDescent="0.2">
      <c r="C26">
        <v>26</v>
      </c>
      <c r="D26" s="2">
        <v>500602005</v>
      </c>
      <c r="E26">
        <v>2003</v>
      </c>
      <c r="F26" s="1">
        <f t="shared" si="0"/>
        <v>500.60200500000002</v>
      </c>
      <c r="H26" s="29"/>
      <c r="I26" s="36"/>
      <c r="J26" s="36"/>
      <c r="K26" s="36"/>
      <c r="L26" s="36"/>
      <c r="M26" s="36"/>
      <c r="N26" s="36"/>
      <c r="O26" s="30"/>
    </row>
    <row r="27" spans="3:15" x14ac:dyDescent="0.2">
      <c r="C27">
        <v>27</v>
      </c>
      <c r="D27" s="2">
        <v>592268690</v>
      </c>
      <c r="E27">
        <v>2004</v>
      </c>
      <c r="F27" s="1">
        <f t="shared" si="0"/>
        <v>592.26868999999999</v>
      </c>
      <c r="H27" s="29"/>
      <c r="I27" s="36"/>
      <c r="J27" s="36"/>
      <c r="K27" s="36"/>
      <c r="L27" s="36"/>
      <c r="M27" s="36"/>
      <c r="N27" s="36"/>
      <c r="O27" s="30"/>
    </row>
    <row r="28" spans="3:15" x14ac:dyDescent="0.2">
      <c r="C28">
        <v>28</v>
      </c>
      <c r="D28" s="2">
        <v>613905119</v>
      </c>
      <c r="E28">
        <v>2005</v>
      </c>
      <c r="F28" s="1">
        <f t="shared" si="0"/>
        <v>613.90511900000001</v>
      </c>
      <c r="H28" s="29"/>
      <c r="I28" s="36"/>
      <c r="J28" s="36"/>
      <c r="K28" s="36"/>
      <c r="L28" s="36"/>
      <c r="M28" s="36"/>
      <c r="N28" s="36"/>
      <c r="O28" s="30"/>
    </row>
    <row r="29" spans="3:15" ht="13.5" thickBot="1" x14ac:dyDescent="0.25">
      <c r="C29">
        <v>29</v>
      </c>
      <c r="D29" s="2">
        <v>611315742</v>
      </c>
      <c r="E29">
        <v>2006</v>
      </c>
      <c r="F29" s="1">
        <f t="shared" si="0"/>
        <v>611.315742</v>
      </c>
      <c r="H29" s="37"/>
      <c r="I29" s="38"/>
      <c r="J29" s="38"/>
      <c r="K29" s="38"/>
      <c r="L29" s="38"/>
      <c r="M29" s="38"/>
      <c r="N29" s="38"/>
      <c r="O29" s="33"/>
    </row>
    <row r="30" spans="3:15" x14ac:dyDescent="0.2">
      <c r="C30">
        <v>30</v>
      </c>
      <c r="D30" s="2">
        <v>613161707</v>
      </c>
      <c r="E30">
        <v>2007</v>
      </c>
      <c r="F30" s="1">
        <f t="shared" si="0"/>
        <v>613.16170699999998</v>
      </c>
    </row>
    <row r="31" spans="3:15" x14ac:dyDescent="0.2">
      <c r="C31">
        <v>31</v>
      </c>
      <c r="D31" s="2">
        <v>638213563</v>
      </c>
      <c r="E31">
        <v>2008</v>
      </c>
      <c r="F31" s="1">
        <f t="shared" si="0"/>
        <v>638.21356300000002</v>
      </c>
    </row>
    <row r="32" spans="3:15" x14ac:dyDescent="0.2">
      <c r="C32">
        <v>32</v>
      </c>
      <c r="D32" s="2">
        <v>687059675</v>
      </c>
      <c r="E32">
        <v>2009</v>
      </c>
      <c r="F32" s="1">
        <f t="shared" si="0"/>
        <v>687.05967499999997</v>
      </c>
    </row>
    <row r="33" spans="3:6" x14ac:dyDescent="0.2">
      <c r="C33">
        <v>33</v>
      </c>
      <c r="D33" s="2">
        <v>745949070</v>
      </c>
      <c r="E33">
        <v>2010</v>
      </c>
      <c r="F33" s="1">
        <f t="shared" si="0"/>
        <v>745.94907000000001</v>
      </c>
    </row>
    <row r="34" spans="3:6" x14ac:dyDescent="0.2">
      <c r="C34">
        <v>34</v>
      </c>
      <c r="D34" s="2">
        <v>776040779</v>
      </c>
      <c r="E34">
        <v>2011</v>
      </c>
      <c r="F34" s="1">
        <f t="shared" si="0"/>
        <v>776.04077900000004</v>
      </c>
    </row>
    <row r="35" spans="3:6" x14ac:dyDescent="0.2">
      <c r="C35">
        <v>35</v>
      </c>
      <c r="D35" s="2">
        <v>850005331</v>
      </c>
      <c r="E35">
        <v>2012</v>
      </c>
      <c r="F35" s="1">
        <f t="shared" si="0"/>
        <v>850.00533099999996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>
      <selection activeCell="Q11" sqref="Q11:X28"/>
    </sheetView>
  </sheetViews>
  <sheetFormatPr defaultRowHeight="12.75" x14ac:dyDescent="0.2"/>
  <cols>
    <col min="4" max="4" width="12.28515625" bestFit="1" customWidth="1"/>
    <col min="6" max="6" width="13.7109375" customWidth="1"/>
    <col min="7" max="7" width="17.140625" customWidth="1"/>
  </cols>
  <sheetData>
    <row r="1" spans="1:24" x14ac:dyDescent="0.2">
      <c r="F1" s="13" t="str">
        <f>IF(D3&gt;A3,B3,IF(D3&gt;A4,B4,B5))</f>
        <v>$ Millions</v>
      </c>
    </row>
    <row r="2" spans="1:24" s="9" customFormat="1" ht="25.5" x14ac:dyDescent="0.2">
      <c r="C2" s="9">
        <v>2</v>
      </c>
      <c r="D2" s="12" t="s">
        <v>13</v>
      </c>
      <c r="E2" s="11" t="s">
        <v>3</v>
      </c>
      <c r="F2" s="10" t="str">
        <f>TRIM(D2)</f>
        <v>Rental Income</v>
      </c>
      <c r="G2" s="9" t="s">
        <v>12</v>
      </c>
    </row>
    <row r="3" spans="1:24" x14ac:dyDescent="0.2">
      <c r="A3" s="8">
        <v>1000000</v>
      </c>
      <c r="B3" s="7" t="s">
        <v>2</v>
      </c>
      <c r="C3">
        <v>3</v>
      </c>
      <c r="D3" s="2">
        <v>75713783</v>
      </c>
      <c r="E3">
        <v>1980</v>
      </c>
      <c r="F3" s="1">
        <f t="shared" ref="F3:F35" si="0">IF(D3&gt;$A$3,D3/$A$3,IF(D3&gt;$A$4,D3/$A$4,D3))</f>
        <v>75.713783000000006</v>
      </c>
    </row>
    <row r="4" spans="1:24" x14ac:dyDescent="0.2">
      <c r="A4" s="6">
        <v>1000</v>
      </c>
      <c r="B4" s="5" t="s">
        <v>1</v>
      </c>
      <c r="C4">
        <v>4</v>
      </c>
      <c r="D4" s="2">
        <v>84865062</v>
      </c>
      <c r="E4">
        <v>1981</v>
      </c>
      <c r="F4" s="1">
        <f t="shared" si="0"/>
        <v>84.865061999999995</v>
      </c>
    </row>
    <row r="5" spans="1:24" x14ac:dyDescent="0.2">
      <c r="A5" s="4"/>
      <c r="B5" s="3" t="s">
        <v>0</v>
      </c>
      <c r="C5">
        <v>5</v>
      </c>
      <c r="D5" s="2">
        <v>91156330</v>
      </c>
      <c r="E5">
        <v>1982</v>
      </c>
      <c r="F5" s="1">
        <f t="shared" si="0"/>
        <v>91.156329999999997</v>
      </c>
    </row>
    <row r="6" spans="1:24" x14ac:dyDescent="0.2">
      <c r="C6">
        <v>6</v>
      </c>
      <c r="D6" s="2">
        <v>113513166</v>
      </c>
      <c r="E6">
        <v>1983</v>
      </c>
      <c r="F6" s="1">
        <f t="shared" si="0"/>
        <v>113.513166</v>
      </c>
    </row>
    <row r="7" spans="1:24" x14ac:dyDescent="0.2">
      <c r="C7">
        <v>7</v>
      </c>
      <c r="D7" s="2">
        <v>114344820</v>
      </c>
      <c r="E7">
        <v>1984</v>
      </c>
      <c r="F7" s="1">
        <f t="shared" si="0"/>
        <v>114.34482</v>
      </c>
    </row>
    <row r="8" spans="1:24" x14ac:dyDescent="0.2">
      <c r="C8">
        <v>8</v>
      </c>
      <c r="D8" s="2">
        <v>140749430</v>
      </c>
      <c r="E8">
        <v>1985</v>
      </c>
      <c r="F8" s="1">
        <f t="shared" si="0"/>
        <v>140.74942999999999</v>
      </c>
    </row>
    <row r="9" spans="1:24" x14ac:dyDescent="0.2">
      <c r="C9">
        <v>9</v>
      </c>
      <c r="D9" s="2">
        <v>180924441</v>
      </c>
      <c r="E9">
        <v>1986</v>
      </c>
      <c r="F9" s="1">
        <f t="shared" si="0"/>
        <v>180.924441</v>
      </c>
    </row>
    <row r="10" spans="1:24" ht="13.5" thickBot="1" x14ac:dyDescent="0.25">
      <c r="C10">
        <v>10</v>
      </c>
      <c r="D10" s="2">
        <v>188429775</v>
      </c>
      <c r="E10">
        <v>1987</v>
      </c>
      <c r="F10" s="1">
        <f t="shared" si="0"/>
        <v>188.42977500000001</v>
      </c>
    </row>
    <row r="11" spans="1:24" x14ac:dyDescent="0.2">
      <c r="C11">
        <v>11</v>
      </c>
      <c r="D11" s="2">
        <v>202431161</v>
      </c>
      <c r="E11">
        <v>1988</v>
      </c>
      <c r="F11" s="1">
        <f t="shared" si="0"/>
        <v>202.431161</v>
      </c>
      <c r="H11" s="34"/>
      <c r="I11" s="35"/>
      <c r="J11" s="35"/>
      <c r="K11" s="35"/>
      <c r="L11" s="35"/>
      <c r="M11" s="35"/>
      <c r="N11" s="35"/>
      <c r="O11" s="28"/>
      <c r="Q11" s="34"/>
      <c r="R11" s="35"/>
      <c r="S11" s="35"/>
      <c r="T11" s="35"/>
      <c r="U11" s="35"/>
      <c r="V11" s="35"/>
      <c r="W11" s="35"/>
      <c r="X11" s="28"/>
    </row>
    <row r="12" spans="1:24" x14ac:dyDescent="0.2">
      <c r="C12">
        <v>12</v>
      </c>
      <c r="D12" s="2">
        <v>187328319</v>
      </c>
      <c r="E12">
        <v>1989</v>
      </c>
      <c r="F12" s="1">
        <f t="shared" si="0"/>
        <v>187.32831899999999</v>
      </c>
      <c r="H12" s="29"/>
      <c r="I12" s="36"/>
      <c r="J12" s="36"/>
      <c r="K12" s="36"/>
      <c r="L12" s="36"/>
      <c r="M12" s="36"/>
      <c r="N12" s="36"/>
      <c r="O12" s="30"/>
      <c r="Q12" s="29"/>
      <c r="R12" s="36"/>
      <c r="S12" s="36"/>
      <c r="T12" s="36"/>
      <c r="U12" s="36"/>
      <c r="V12" s="36"/>
      <c r="W12" s="36"/>
      <c r="X12" s="30"/>
    </row>
    <row r="13" spans="1:24" x14ac:dyDescent="0.2">
      <c r="C13">
        <v>13</v>
      </c>
      <c r="D13" s="2">
        <v>207412872</v>
      </c>
      <c r="E13">
        <v>1990</v>
      </c>
      <c r="F13" s="1">
        <f t="shared" si="0"/>
        <v>207.41287199999999</v>
      </c>
      <c r="H13" s="29"/>
      <c r="I13" s="36"/>
      <c r="J13" s="36"/>
      <c r="K13" s="36"/>
      <c r="L13" s="36"/>
      <c r="M13" s="36"/>
      <c r="N13" s="36"/>
      <c r="O13" s="30"/>
      <c r="Q13" s="29"/>
      <c r="R13" s="36"/>
      <c r="S13" s="36"/>
      <c r="T13" s="36"/>
      <c r="U13" s="36"/>
      <c r="V13" s="36"/>
      <c r="W13" s="36"/>
      <c r="X13" s="30"/>
    </row>
    <row r="14" spans="1:24" x14ac:dyDescent="0.2">
      <c r="C14">
        <v>14</v>
      </c>
      <c r="D14" s="2">
        <v>169527095</v>
      </c>
      <c r="E14">
        <v>1991</v>
      </c>
      <c r="F14" s="1">
        <f t="shared" si="0"/>
        <v>169.527095</v>
      </c>
      <c r="H14" s="29"/>
      <c r="I14" s="36"/>
      <c r="J14" s="36"/>
      <c r="K14" s="36"/>
      <c r="L14" s="36"/>
      <c r="M14" s="36"/>
      <c r="N14" s="36"/>
      <c r="O14" s="30"/>
      <c r="Q14" s="29"/>
      <c r="R14" s="36"/>
      <c r="S14" s="36"/>
      <c r="T14" s="36"/>
      <c r="U14" s="36"/>
      <c r="V14" s="36"/>
      <c r="W14" s="36"/>
      <c r="X14" s="30"/>
    </row>
    <row r="15" spans="1:24" x14ac:dyDescent="0.2">
      <c r="C15">
        <v>15</v>
      </c>
      <c r="D15" s="2">
        <v>157866384</v>
      </c>
      <c r="E15">
        <v>1992</v>
      </c>
      <c r="F15" s="1">
        <f t="shared" si="0"/>
        <v>157.86638400000001</v>
      </c>
      <c r="H15" s="29"/>
      <c r="I15" s="36"/>
      <c r="J15" s="36"/>
      <c r="K15" s="36"/>
      <c r="L15" s="36"/>
      <c r="M15" s="36"/>
      <c r="N15" s="36"/>
      <c r="O15" s="30"/>
      <c r="Q15" s="29"/>
      <c r="R15" s="36"/>
      <c r="S15" s="36"/>
      <c r="T15" s="36"/>
      <c r="U15" s="36"/>
      <c r="V15" s="36"/>
      <c r="W15" s="36"/>
      <c r="X15" s="30"/>
    </row>
    <row r="16" spans="1:24" x14ac:dyDescent="0.2">
      <c r="C16">
        <v>16</v>
      </c>
      <c r="D16" s="2">
        <v>161762840</v>
      </c>
      <c r="E16">
        <v>1993</v>
      </c>
      <c r="F16" s="1">
        <f t="shared" si="0"/>
        <v>161.76284000000001</v>
      </c>
      <c r="H16" s="29"/>
      <c r="I16" s="36"/>
      <c r="J16" s="36"/>
      <c r="K16" s="36"/>
      <c r="L16" s="36"/>
      <c r="M16" s="36"/>
      <c r="N16" s="36"/>
      <c r="O16" s="30"/>
      <c r="Q16" s="29"/>
      <c r="R16" s="36"/>
      <c r="S16" s="36"/>
      <c r="T16" s="36"/>
      <c r="U16" s="36"/>
      <c r="V16" s="36"/>
      <c r="W16" s="36"/>
      <c r="X16" s="30"/>
    </row>
    <row r="17" spans="3:24" x14ac:dyDescent="0.2">
      <c r="C17">
        <v>17</v>
      </c>
      <c r="D17" s="2">
        <v>132811512</v>
      </c>
      <c r="E17">
        <v>1994</v>
      </c>
      <c r="F17" s="1">
        <f t="shared" si="0"/>
        <v>132.81151199999999</v>
      </c>
      <c r="H17" s="29"/>
      <c r="I17" s="36"/>
      <c r="J17" s="36"/>
      <c r="K17" s="36"/>
      <c r="L17" s="36"/>
      <c r="M17" s="36"/>
      <c r="N17" s="36"/>
      <c r="O17" s="30"/>
      <c r="Q17" s="29"/>
      <c r="R17" s="36"/>
      <c r="S17" s="36"/>
      <c r="T17" s="36"/>
      <c r="U17" s="36"/>
      <c r="V17" s="36"/>
      <c r="W17" s="36"/>
      <c r="X17" s="30"/>
    </row>
    <row r="18" spans="3:24" x14ac:dyDescent="0.2">
      <c r="C18">
        <v>18</v>
      </c>
      <c r="D18" s="2">
        <v>126530545</v>
      </c>
      <c r="E18">
        <v>1995</v>
      </c>
      <c r="F18" s="1">
        <f t="shared" si="0"/>
        <v>126.530545</v>
      </c>
      <c r="H18" s="29"/>
      <c r="I18" s="36"/>
      <c r="J18" s="36"/>
      <c r="K18" s="36"/>
      <c r="L18" s="36"/>
      <c r="M18" s="36"/>
      <c r="N18" s="36"/>
      <c r="O18" s="30"/>
      <c r="Q18" s="29"/>
      <c r="R18" s="36"/>
      <c r="S18" s="36"/>
      <c r="T18" s="36"/>
      <c r="U18" s="36"/>
      <c r="V18" s="36"/>
      <c r="W18" s="36"/>
      <c r="X18" s="30"/>
    </row>
    <row r="19" spans="3:24" x14ac:dyDescent="0.2">
      <c r="C19">
        <v>19</v>
      </c>
      <c r="D19" s="2">
        <v>138722981</v>
      </c>
      <c r="E19">
        <v>1996</v>
      </c>
      <c r="F19" s="1">
        <f t="shared" si="0"/>
        <v>138.722981</v>
      </c>
      <c r="H19" s="29"/>
      <c r="I19" s="36"/>
      <c r="J19" s="36"/>
      <c r="K19" s="36"/>
      <c r="L19" s="36"/>
      <c r="M19" s="36"/>
      <c r="N19" s="36"/>
      <c r="O19" s="30"/>
      <c r="Q19" s="29"/>
      <c r="R19" s="36"/>
      <c r="S19" s="36"/>
      <c r="T19" s="36"/>
      <c r="U19" s="36"/>
      <c r="V19" s="36"/>
      <c r="W19" s="36"/>
      <c r="X19" s="30"/>
    </row>
    <row r="20" spans="3:24" x14ac:dyDescent="0.2">
      <c r="C20">
        <v>20</v>
      </c>
      <c r="D20" s="2">
        <v>142962168</v>
      </c>
      <c r="E20">
        <v>1997</v>
      </c>
      <c r="F20" s="1">
        <f t="shared" si="0"/>
        <v>142.96216799999999</v>
      </c>
      <c r="H20" s="29"/>
      <c r="I20" s="36"/>
      <c r="J20" s="36"/>
      <c r="K20" s="36"/>
      <c r="L20" s="36"/>
      <c r="M20" s="36"/>
      <c r="N20" s="36"/>
      <c r="O20" s="30"/>
      <c r="Q20" s="29"/>
      <c r="R20" s="36"/>
      <c r="S20" s="36"/>
      <c r="T20" s="36"/>
      <c r="U20" s="36"/>
      <c r="V20" s="36"/>
      <c r="W20" s="36"/>
      <c r="X20" s="30"/>
    </row>
    <row r="21" spans="3:24" x14ac:dyDescent="0.2">
      <c r="C21">
        <v>21</v>
      </c>
      <c r="D21" s="2">
        <v>151388797</v>
      </c>
      <c r="E21">
        <v>1998</v>
      </c>
      <c r="F21" s="1">
        <f t="shared" si="0"/>
        <v>151.38879700000001</v>
      </c>
      <c r="H21" s="29"/>
      <c r="I21" s="36"/>
      <c r="J21" s="36"/>
      <c r="K21" s="36"/>
      <c r="L21" s="36"/>
      <c r="M21" s="36"/>
      <c r="N21" s="36"/>
      <c r="O21" s="30"/>
      <c r="Q21" s="29"/>
      <c r="R21" s="36"/>
      <c r="S21" s="36"/>
      <c r="T21" s="36"/>
      <c r="U21" s="36"/>
      <c r="V21" s="36"/>
      <c r="W21" s="36"/>
      <c r="X21" s="30"/>
    </row>
    <row r="22" spans="3:24" x14ac:dyDescent="0.2">
      <c r="C22">
        <v>22</v>
      </c>
      <c r="D22" s="2">
        <v>114250982</v>
      </c>
      <c r="E22">
        <v>1999</v>
      </c>
      <c r="F22" s="1">
        <f t="shared" si="0"/>
        <v>114.25098199999999</v>
      </c>
      <c r="H22" s="29"/>
      <c r="I22" s="36"/>
      <c r="J22" s="36"/>
      <c r="K22" s="36"/>
      <c r="L22" s="36"/>
      <c r="M22" s="36"/>
      <c r="N22" s="36"/>
      <c r="O22" s="30"/>
      <c r="Q22" s="29"/>
      <c r="R22" s="36"/>
      <c r="S22" s="36"/>
      <c r="T22" s="36"/>
      <c r="U22" s="36"/>
      <c r="V22" s="36"/>
      <c r="W22" s="36"/>
      <c r="X22" s="30"/>
    </row>
    <row r="23" spans="3:24" x14ac:dyDescent="0.2">
      <c r="C23">
        <v>23</v>
      </c>
      <c r="D23" s="2">
        <v>138916302</v>
      </c>
      <c r="E23">
        <v>2000</v>
      </c>
      <c r="F23" s="1">
        <f t="shared" si="0"/>
        <v>138.916302</v>
      </c>
      <c r="H23" s="29"/>
      <c r="I23" s="36"/>
      <c r="J23" s="36"/>
      <c r="K23" s="36"/>
      <c r="L23" s="36"/>
      <c r="M23" s="36"/>
      <c r="N23" s="36"/>
      <c r="O23" s="30"/>
      <c r="Q23" s="29"/>
      <c r="R23" s="36"/>
      <c r="S23" s="36"/>
      <c r="T23" s="36"/>
      <c r="U23" s="36"/>
      <c r="V23" s="36"/>
      <c r="W23" s="36"/>
      <c r="X23" s="30"/>
    </row>
    <row r="24" spans="3:24" x14ac:dyDescent="0.2">
      <c r="C24">
        <v>24</v>
      </c>
      <c r="D24" s="2">
        <v>153869253</v>
      </c>
      <c r="E24">
        <v>2001</v>
      </c>
      <c r="F24" s="1">
        <f t="shared" si="0"/>
        <v>153.86925299999999</v>
      </c>
      <c r="H24" s="29"/>
      <c r="I24" s="36"/>
      <c r="J24" s="36"/>
      <c r="K24" s="36"/>
      <c r="L24" s="36"/>
      <c r="M24" s="36"/>
      <c r="N24" s="36"/>
      <c r="O24" s="30"/>
      <c r="Q24" s="29"/>
      <c r="R24" s="36"/>
      <c r="S24" s="36"/>
      <c r="T24" s="36"/>
      <c r="U24" s="36"/>
      <c r="V24" s="36"/>
      <c r="W24" s="36"/>
      <c r="X24" s="30"/>
    </row>
    <row r="25" spans="3:24" x14ac:dyDescent="0.2">
      <c r="C25">
        <v>25</v>
      </c>
      <c r="D25" s="2">
        <v>114893687</v>
      </c>
      <c r="E25">
        <v>2002</v>
      </c>
      <c r="F25" s="1">
        <f t="shared" si="0"/>
        <v>114.893687</v>
      </c>
      <c r="H25" s="29"/>
      <c r="I25" s="36"/>
      <c r="J25" s="36"/>
      <c r="K25" s="36"/>
      <c r="L25" s="36"/>
      <c r="M25" s="36"/>
      <c r="N25" s="36"/>
      <c r="O25" s="30"/>
      <c r="Q25" s="29"/>
      <c r="R25" s="36"/>
      <c r="S25" s="36"/>
      <c r="T25" s="36"/>
      <c r="U25" s="36"/>
      <c r="V25" s="36"/>
      <c r="W25" s="36"/>
      <c r="X25" s="30"/>
    </row>
    <row r="26" spans="3:24" x14ac:dyDescent="0.2">
      <c r="C26">
        <v>26</v>
      </c>
      <c r="D26" s="2">
        <v>108564275</v>
      </c>
      <c r="E26">
        <v>2003</v>
      </c>
      <c r="F26" s="1">
        <f t="shared" si="0"/>
        <v>108.56427499999999</v>
      </c>
      <c r="H26" s="29"/>
      <c r="I26" s="36"/>
      <c r="J26" s="36"/>
      <c r="K26" s="36"/>
      <c r="L26" s="36"/>
      <c r="M26" s="36"/>
      <c r="N26" s="36"/>
      <c r="O26" s="30"/>
      <c r="Q26" s="29"/>
      <c r="R26" s="36"/>
      <c r="S26" s="36"/>
      <c r="T26" s="36"/>
      <c r="U26" s="36"/>
      <c r="V26" s="36"/>
      <c r="W26" s="36"/>
      <c r="X26" s="30"/>
    </row>
    <row r="27" spans="3:24" x14ac:dyDescent="0.2">
      <c r="C27">
        <v>27</v>
      </c>
      <c r="D27" s="2">
        <v>107737927</v>
      </c>
      <c r="E27">
        <v>2004</v>
      </c>
      <c r="F27" s="1">
        <f t="shared" si="0"/>
        <v>107.737927</v>
      </c>
      <c r="H27" s="29"/>
      <c r="I27" s="36"/>
      <c r="J27" s="36"/>
      <c r="K27" s="36"/>
      <c r="L27" s="36"/>
      <c r="M27" s="36"/>
      <c r="N27" s="36"/>
      <c r="O27" s="30"/>
      <c r="Q27" s="29"/>
      <c r="R27" s="36"/>
      <c r="S27" s="36"/>
      <c r="T27" s="36"/>
      <c r="U27" s="36"/>
      <c r="V27" s="36"/>
      <c r="W27" s="36"/>
      <c r="X27" s="30"/>
    </row>
    <row r="28" spans="3:24" ht="13.5" thickBot="1" x14ac:dyDescent="0.25">
      <c r="C28">
        <v>28</v>
      </c>
      <c r="D28" s="2">
        <v>943694277</v>
      </c>
      <c r="E28">
        <v>2005</v>
      </c>
      <c r="F28" s="1">
        <f t="shared" si="0"/>
        <v>943.69427700000006</v>
      </c>
      <c r="G28" s="16">
        <f>F43</f>
        <v>626.1402031069573</v>
      </c>
      <c r="H28" s="37"/>
      <c r="I28" s="38"/>
      <c r="J28" s="38"/>
      <c r="K28" s="38"/>
      <c r="L28" s="38"/>
      <c r="M28" s="38"/>
      <c r="N28" s="38"/>
      <c r="O28" s="33"/>
      <c r="Q28" s="37"/>
      <c r="R28" s="38"/>
      <c r="S28" s="38"/>
      <c r="T28" s="38"/>
      <c r="U28" s="38"/>
      <c r="V28" s="38"/>
      <c r="W28" s="38"/>
      <c r="X28" s="33"/>
    </row>
    <row r="29" spans="3:24" x14ac:dyDescent="0.2">
      <c r="C29">
        <v>29</v>
      </c>
      <c r="D29" s="2">
        <v>209189168</v>
      </c>
      <c r="E29">
        <v>2006</v>
      </c>
      <c r="F29" s="1">
        <f t="shared" si="0"/>
        <v>209.189168</v>
      </c>
    </row>
    <row r="30" spans="3:24" x14ac:dyDescent="0.2">
      <c r="C30">
        <v>30</v>
      </c>
      <c r="D30" s="2">
        <v>211276335</v>
      </c>
      <c r="E30">
        <v>2007</v>
      </c>
      <c r="F30" s="1">
        <f t="shared" si="0"/>
        <v>211.27633499999999</v>
      </c>
    </row>
    <row r="31" spans="3:24" x14ac:dyDescent="0.2">
      <c r="C31">
        <v>31</v>
      </c>
      <c r="D31" s="2">
        <v>256804942</v>
      </c>
      <c r="E31">
        <v>2008</v>
      </c>
      <c r="F31" s="1">
        <f t="shared" si="0"/>
        <v>256.80494199999998</v>
      </c>
    </row>
    <row r="32" spans="3:24" x14ac:dyDescent="0.2">
      <c r="C32">
        <v>32</v>
      </c>
      <c r="D32" s="2">
        <v>255433694</v>
      </c>
      <c r="E32">
        <v>2009</v>
      </c>
      <c r="F32" s="1">
        <f t="shared" si="0"/>
        <v>255.433694</v>
      </c>
    </row>
    <row r="33" spans="3:7" x14ac:dyDescent="0.2">
      <c r="C33">
        <v>33</v>
      </c>
      <c r="D33" s="2">
        <v>234388088</v>
      </c>
      <c r="E33">
        <v>2010</v>
      </c>
      <c r="F33" s="1">
        <f t="shared" si="0"/>
        <v>234.38808800000001</v>
      </c>
    </row>
    <row r="34" spans="3:7" x14ac:dyDescent="0.2">
      <c r="C34">
        <v>34</v>
      </c>
      <c r="D34" s="2">
        <v>253402960</v>
      </c>
      <c r="E34">
        <v>2011</v>
      </c>
      <c r="F34" s="1">
        <f t="shared" si="0"/>
        <v>253.40296000000001</v>
      </c>
    </row>
    <row r="35" spans="3:7" x14ac:dyDescent="0.2">
      <c r="C35">
        <v>35</v>
      </c>
      <c r="D35" s="2">
        <v>291224573</v>
      </c>
      <c r="E35">
        <v>2012</v>
      </c>
      <c r="F35" s="1">
        <f t="shared" si="0"/>
        <v>291.22457300000002</v>
      </c>
    </row>
    <row r="36" spans="3:7" ht="13.5" thickBot="1" x14ac:dyDescent="0.25"/>
    <row r="37" spans="3:7" x14ac:dyDescent="0.2">
      <c r="F37" s="21">
        <f>AVERAGE(F3:F35)</f>
        <v>186.7299376969697</v>
      </c>
      <c r="G37" s="28" t="s">
        <v>11</v>
      </c>
    </row>
    <row r="38" spans="3:7" x14ac:dyDescent="0.2">
      <c r="F38" s="29"/>
      <c r="G38" s="30"/>
    </row>
    <row r="39" spans="3:7" x14ac:dyDescent="0.2">
      <c r="F39" s="31">
        <f>STDEV(F3:F35)</f>
        <v>146.47008846999586</v>
      </c>
      <c r="G39" s="30" t="s">
        <v>10</v>
      </c>
    </row>
    <row r="40" spans="3:7" x14ac:dyDescent="0.2">
      <c r="F40" s="29"/>
      <c r="G40" s="30"/>
    </row>
    <row r="41" spans="3:7" x14ac:dyDescent="0.2">
      <c r="F41" s="29">
        <v>3</v>
      </c>
      <c r="G41" s="30" t="s">
        <v>9</v>
      </c>
    </row>
    <row r="42" spans="3:7" x14ac:dyDescent="0.2">
      <c r="F42" s="29"/>
      <c r="G42" s="30"/>
    </row>
    <row r="43" spans="3:7" ht="13.5" thickBot="1" x14ac:dyDescent="0.25">
      <c r="F43" s="32">
        <f>F41*F39+F37</f>
        <v>626.1402031069573</v>
      </c>
      <c r="G43" s="33" t="s">
        <v>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A140"/>
  <sheetViews>
    <sheetView topLeftCell="AB8" workbookViewId="0">
      <selection activeCell="AM22" sqref="AM22"/>
    </sheetView>
  </sheetViews>
  <sheetFormatPr defaultRowHeight="12.75" x14ac:dyDescent="0.2"/>
  <cols>
    <col min="1" max="4" width="9.140625" style="39"/>
    <col min="5" max="5" width="12.85546875" style="39" bestFit="1" customWidth="1"/>
    <col min="6" max="6" width="9.140625" style="39"/>
    <col min="7" max="7" width="10.5703125" style="39" customWidth="1"/>
    <col min="8" max="10" width="9.140625" style="39"/>
    <col min="11" max="11" width="12.85546875" style="39" bestFit="1" customWidth="1"/>
    <col min="12" max="13" width="9.140625" style="39"/>
    <col min="14" max="14" width="16.140625" style="39" customWidth="1"/>
    <col min="15" max="16" width="9.140625" style="39"/>
    <col min="17" max="17" width="10.7109375" style="39" customWidth="1"/>
    <col min="18" max="19" width="9.140625" style="39"/>
    <col min="20" max="20" width="4.85546875" style="39" customWidth="1"/>
    <col min="21" max="21" width="4" style="39" bestFit="1" customWidth="1"/>
    <col min="22" max="22" width="16" style="39" bestFit="1" customWidth="1"/>
    <col min="23" max="23" width="16" style="39" customWidth="1"/>
    <col min="24" max="24" width="5.140625" style="39" bestFit="1" customWidth="1"/>
    <col min="25" max="25" width="9.140625" style="39"/>
    <col min="26" max="26" width="10.28515625" style="39" bestFit="1" customWidth="1"/>
    <col min="27" max="27" width="11.5703125" style="39" customWidth="1"/>
    <col min="28" max="28" width="17" style="39" bestFit="1" customWidth="1"/>
    <col min="29" max="31" width="9.140625" style="39"/>
    <col min="32" max="32" width="10.28515625" style="39" bestFit="1" customWidth="1"/>
    <col min="33" max="33" width="9.140625" style="39"/>
    <col min="34" max="35" width="16.7109375" style="39" bestFit="1" customWidth="1"/>
    <col min="36" max="36" width="28.85546875" style="39" bestFit="1" customWidth="1"/>
    <col min="37" max="37" width="13.7109375" style="39" customWidth="1"/>
    <col min="38" max="38" width="10.28515625" style="39" customWidth="1"/>
    <col min="39" max="39" width="13.28515625" style="39" customWidth="1"/>
    <col min="40" max="40" width="11.5703125" style="39" bestFit="1" customWidth="1"/>
    <col min="41" max="41" width="13.85546875" style="39" bestFit="1" customWidth="1"/>
    <col min="42" max="42" width="14" style="39" bestFit="1" customWidth="1"/>
    <col min="43" max="43" width="14" style="39" customWidth="1"/>
    <col min="44" max="44" width="12.140625" style="39" bestFit="1" customWidth="1"/>
    <col min="45" max="45" width="12.85546875" style="39" bestFit="1" customWidth="1"/>
    <col min="46" max="46" width="16.7109375" style="39" customWidth="1"/>
    <col min="47" max="47" width="9.140625" style="39"/>
    <col min="48" max="48" width="14.5703125" style="39" bestFit="1" customWidth="1"/>
    <col min="49" max="49" width="9.140625" style="39"/>
    <col min="50" max="50" width="11.5703125" style="39" customWidth="1"/>
    <col min="51" max="51" width="13.7109375" style="39" customWidth="1"/>
    <col min="52" max="52" width="13.140625" style="39" customWidth="1"/>
    <col min="53" max="53" width="12.85546875" style="39" bestFit="1" customWidth="1"/>
    <col min="54" max="16384" width="9.140625" style="39"/>
  </cols>
  <sheetData>
    <row r="5" spans="2:53" x14ac:dyDescent="0.2">
      <c r="AR5" s="39">
        <f>STDEV(AR14:AR41)</f>
        <v>2.8987068008289754</v>
      </c>
    </row>
    <row r="6" spans="2:53" x14ac:dyDescent="0.2">
      <c r="AR6" s="100">
        <f>AVERAGE(AR14:AR41)</f>
        <v>-0.63237704129372263</v>
      </c>
    </row>
    <row r="7" spans="2:53" x14ac:dyDescent="0.2">
      <c r="B7" s="39" t="s">
        <v>99</v>
      </c>
    </row>
    <row r="8" spans="2:53" x14ac:dyDescent="0.2">
      <c r="AH8" s="39" t="s">
        <v>98</v>
      </c>
    </row>
    <row r="9" spans="2:53" x14ac:dyDescent="0.2">
      <c r="AH9" s="39" t="s">
        <v>97</v>
      </c>
    </row>
    <row r="10" spans="2:53" ht="23.25" x14ac:dyDescent="0.2">
      <c r="B10" s="138" t="s">
        <v>96</v>
      </c>
    </row>
    <row r="11" spans="2:53" ht="13.5" thickBot="1" x14ac:dyDescent="0.25">
      <c r="AF11" s="39">
        <v>1000</v>
      </c>
      <c r="AP11" s="39">
        <v>1000</v>
      </c>
    </row>
    <row r="12" spans="2:53" ht="39" thickBot="1" x14ac:dyDescent="0.25">
      <c r="C12" s="137" t="s">
        <v>95</v>
      </c>
      <c r="D12" s="137" t="s">
        <v>94</v>
      </c>
      <c r="E12" s="136">
        <v>1000000</v>
      </c>
      <c r="G12" s="135" t="s">
        <v>93</v>
      </c>
      <c r="V12" s="134">
        <v>365</v>
      </c>
      <c r="W12" s="133"/>
      <c r="X12" s="224" t="s">
        <v>92</v>
      </c>
      <c r="Y12" s="224"/>
      <c r="Z12" s="224"/>
      <c r="AA12" s="224"/>
      <c r="AB12" s="224"/>
    </row>
    <row r="13" spans="2:53" s="122" customFormat="1" ht="64.5" thickBot="1" x14ac:dyDescent="0.25">
      <c r="B13" s="132" t="s">
        <v>3</v>
      </c>
      <c r="C13" s="132" t="s">
        <v>91</v>
      </c>
      <c r="D13" s="132" t="s">
        <v>90</v>
      </c>
      <c r="E13" s="132" t="s">
        <v>89</v>
      </c>
      <c r="F13" s="132" t="s">
        <v>3</v>
      </c>
      <c r="G13" s="132" t="s">
        <v>88</v>
      </c>
      <c r="H13" s="132" t="s">
        <v>87</v>
      </c>
      <c r="J13" s="132" t="s">
        <v>86</v>
      </c>
      <c r="K13" s="132" t="s">
        <v>85</v>
      </c>
      <c r="L13" s="132" t="s">
        <v>84</v>
      </c>
      <c r="N13" s="132" t="s">
        <v>83</v>
      </c>
      <c r="O13" s="132" t="s">
        <v>82</v>
      </c>
      <c r="P13" s="132" t="s">
        <v>81</v>
      </c>
      <c r="Q13" s="132" t="s">
        <v>80</v>
      </c>
      <c r="X13" s="131" t="s">
        <v>3</v>
      </c>
      <c r="Y13" s="127" t="s">
        <v>79</v>
      </c>
      <c r="Z13" s="127" t="s">
        <v>78</v>
      </c>
      <c r="AA13" s="127" t="s">
        <v>77</v>
      </c>
      <c r="AB13" s="127" t="s">
        <v>76</v>
      </c>
      <c r="AD13" s="130" t="str">
        <f>X13</f>
        <v>Year</v>
      </c>
      <c r="AE13" s="129" t="s">
        <v>41</v>
      </c>
      <c r="AF13" s="129" t="s">
        <v>40</v>
      </c>
      <c r="AG13" s="128" t="s">
        <v>75</v>
      </c>
      <c r="AH13" s="127" t="s">
        <v>74</v>
      </c>
      <c r="AI13" s="127" t="s">
        <v>73</v>
      </c>
      <c r="AO13" s="126" t="s">
        <v>3</v>
      </c>
      <c r="AP13" s="124" t="s">
        <v>72</v>
      </c>
      <c r="AQ13" s="124" t="str">
        <f>AR13&amp;"Corrected"</f>
        <v>Differenced Thousand Gallons Per Cap/Lag 1Corrected</v>
      </c>
      <c r="AR13" s="124" t="str">
        <f>"Differenced "&amp;AF13</f>
        <v>Differenced Thousand Gallons Per Cap/Lag 1</v>
      </c>
      <c r="AS13" s="123" t="s">
        <v>70</v>
      </c>
      <c r="AT13" s="127"/>
      <c r="AW13" s="126" t="s">
        <v>3</v>
      </c>
      <c r="AX13" s="125" t="s">
        <v>72</v>
      </c>
      <c r="AY13" s="124" t="s">
        <v>71</v>
      </c>
      <c r="AZ13" s="124" t="s">
        <v>70</v>
      </c>
      <c r="BA13" s="123" t="s">
        <v>69</v>
      </c>
    </row>
    <row r="14" spans="2:53" x14ac:dyDescent="0.2">
      <c r="B14" s="103">
        <v>1979</v>
      </c>
      <c r="C14" s="103">
        <v>1512.4</v>
      </c>
      <c r="D14" s="103">
        <v>189</v>
      </c>
      <c r="E14" s="49">
        <f t="shared" ref="E14:E44" si="0">C14*$E$12/D14</f>
        <v>8002116.4021164021</v>
      </c>
      <c r="F14" s="39">
        <v>1979</v>
      </c>
      <c r="G14" s="121">
        <v>7154035</v>
      </c>
      <c r="H14" s="89">
        <f>C14*$E$12/G14</f>
        <v>211.40517204626479</v>
      </c>
      <c r="J14" s="39">
        <v>1574.9</v>
      </c>
      <c r="K14" s="89">
        <f t="shared" ref="K14:K44" si="1">J14*$E$12/G14</f>
        <v>220.14150056576463</v>
      </c>
      <c r="L14" s="89">
        <f t="shared" ref="L14:L44" si="2">K14+H14</f>
        <v>431.5466726120294</v>
      </c>
      <c r="V14" s="102"/>
      <c r="W14" s="102"/>
      <c r="X14" s="102"/>
      <c r="AD14" s="115">
        <f t="shared" ref="AD14:AD42" si="3">X16</f>
        <v>1981</v>
      </c>
      <c r="AE14" s="111">
        <f t="shared" ref="AE14:AE43" si="4">LOG(Y15)</f>
        <v>-3.3730507172339501</v>
      </c>
      <c r="AF14" s="114">
        <f t="shared" ref="AF14:AF43" si="5">Z15/AF$11</f>
        <v>78.061959893597503</v>
      </c>
      <c r="AG14" s="113">
        <f t="shared" ref="AG14:AG42" si="6">LOG(AB16)</f>
        <v>8.4179013424611906</v>
      </c>
      <c r="AH14" s="100">
        <f t="shared" ref="AH14:AH43" si="7">$AE$45+$AF$45*AE14+$AG$45*AF14</f>
        <v>8.4135836146182292</v>
      </c>
      <c r="AI14" s="49">
        <f t="shared" ref="AI14:AI43" si="8">10^AH14</f>
        <v>259169335.14575863</v>
      </c>
      <c r="AJ14" s="87"/>
      <c r="AK14" s="120"/>
      <c r="AO14" s="112">
        <v>1982</v>
      </c>
      <c r="AP14" s="111">
        <f t="shared" ref="AP14:AP42" si="9">(Y16-Y15)*$AF$11</f>
        <v>5.1330511868769142E-2</v>
      </c>
      <c r="AQ14" s="111">
        <f>AR14</f>
        <v>-0.18465704881775311</v>
      </c>
      <c r="AR14" s="111">
        <f>(Z16-Z15)/$AP$11</f>
        <v>-0.18465704881775311</v>
      </c>
      <c r="AS14" s="55">
        <f t="shared" ref="AS14:AS41" si="10">AB17-AB16</f>
        <v>2824143.9999999702</v>
      </c>
      <c r="AT14" s="49"/>
      <c r="AV14" s="119"/>
      <c r="AW14" s="112">
        <f t="shared" ref="AW14:AW40" si="11">AO16</f>
        <v>1984</v>
      </c>
      <c r="AX14" s="111">
        <f t="shared" ref="AX14:AX40" si="12">AP16</f>
        <v>7.9021060458230194E-2</v>
      </c>
      <c r="AY14" s="111">
        <f t="shared" ref="AY14:AY40" si="13">AQ16</f>
        <v>3.1488796646250119</v>
      </c>
      <c r="AZ14" s="117">
        <f t="shared" ref="AZ14:AZ39" si="14">AS16</f>
        <v>25610257.999999881</v>
      </c>
      <c r="BA14" s="116">
        <f t="shared" ref="BA14:BA40" si="15">$AZ$43+$AZ$44*AP16+$AZ$45*AQ16</f>
        <v>69362260.60251233</v>
      </c>
    </row>
    <row r="15" spans="2:53" x14ac:dyDescent="0.2">
      <c r="B15" s="103">
        <v>1980</v>
      </c>
      <c r="C15" s="103">
        <v>1505.9</v>
      </c>
      <c r="D15" s="103">
        <v>187.9</v>
      </c>
      <c r="E15" s="49">
        <f t="shared" si="0"/>
        <v>8014369.345396487</v>
      </c>
      <c r="F15" s="39">
        <v>1980</v>
      </c>
      <c r="G15" s="71">
        <v>7071639</v>
      </c>
      <c r="H15" s="89">
        <f t="shared" ref="H15:H44" si="16">C15*E$12/G15</f>
        <v>212.94921870304748</v>
      </c>
      <c r="J15" s="39">
        <v>1574.9</v>
      </c>
      <c r="K15" s="89">
        <f t="shared" si="1"/>
        <v>222.70650410746364</v>
      </c>
      <c r="L15" s="89">
        <f t="shared" si="2"/>
        <v>435.65572281051112</v>
      </c>
      <c r="M15" s="101">
        <f t="shared" ref="M15:M44" si="17">B15</f>
        <v>1980</v>
      </c>
      <c r="N15" s="118">
        <v>233834623</v>
      </c>
      <c r="O15" s="91">
        <f t="shared" ref="O15:O44" si="18">ROUND(N15/G15,2)</f>
        <v>33.07</v>
      </c>
      <c r="P15" s="91">
        <f t="shared" ref="P15:P44" si="19">ROUND(O15/H15,2)</f>
        <v>0.16</v>
      </c>
      <c r="Q15" s="91">
        <f t="shared" ref="Q15:Q44" si="20">ROUND(O15/L15,2)</f>
        <v>0.08</v>
      </c>
      <c r="U15" s="39">
        <v>365</v>
      </c>
      <c r="V15" s="102">
        <f t="shared" ref="V15:V44" si="21">C14*$E$12*U15</f>
        <v>552026000000</v>
      </c>
      <c r="W15" s="102"/>
      <c r="X15" s="101">
        <f t="shared" ref="X15:X44" si="22">M15</f>
        <v>1980</v>
      </c>
      <c r="Y15" s="88">
        <f t="shared" ref="Y15:Y44" si="23">N15/V15</f>
        <v>4.2359349559622193E-4</v>
      </c>
      <c r="Z15" s="89">
        <f t="shared" ref="Z15:Z44" si="24">V15/G15</f>
        <v>78061.959893597508</v>
      </c>
      <c r="AA15" s="71">
        <f t="shared" ref="AA15:AA44" si="25">G15</f>
        <v>7071639</v>
      </c>
      <c r="AB15" s="87">
        <f t="shared" ref="AB15:AB44" si="26">AA15*Z15*Y15</f>
        <v>233834623</v>
      </c>
      <c r="AD15" s="115">
        <f t="shared" si="3"/>
        <v>1982</v>
      </c>
      <c r="AE15" s="111">
        <f t="shared" si="4"/>
        <v>-3.3233758762254357</v>
      </c>
      <c r="AF15" s="114">
        <f t="shared" si="5"/>
        <v>77.877302844779749</v>
      </c>
      <c r="AG15" s="113">
        <f t="shared" si="6"/>
        <v>8.4225618954016177</v>
      </c>
      <c r="AH15" s="100">
        <f t="shared" si="7"/>
        <v>8.4616172922249042</v>
      </c>
      <c r="AI15" s="49">
        <f t="shared" si="8"/>
        <v>289479152.32723558</v>
      </c>
      <c r="AO15" s="112">
        <v>1983</v>
      </c>
      <c r="AP15" s="111">
        <f t="shared" si="9"/>
        <v>7.8719056014500702E-2</v>
      </c>
      <c r="AQ15" s="111">
        <f>AR6-AR5*3</f>
        <v>-9.3284974437806483</v>
      </c>
      <c r="AR15" s="111"/>
      <c r="AS15" s="55">
        <f t="shared" si="10"/>
        <v>54644158.000000089</v>
      </c>
      <c r="AT15" s="49"/>
      <c r="AV15" s="119"/>
      <c r="AW15" s="112">
        <f t="shared" si="11"/>
        <v>1985</v>
      </c>
      <c r="AX15" s="111">
        <f t="shared" si="12"/>
        <v>2.9071136586527331E-2</v>
      </c>
      <c r="AY15" s="111">
        <f t="shared" si="13"/>
        <v>1.8252347741785926</v>
      </c>
      <c r="AZ15" s="117">
        <f t="shared" si="14"/>
        <v>33371895.00000006</v>
      </c>
      <c r="BA15" s="116">
        <f t="shared" si="15"/>
        <v>51933573.221647285</v>
      </c>
    </row>
    <row r="16" spans="2:53" x14ac:dyDescent="0.2">
      <c r="B16" s="103">
        <v>1981</v>
      </c>
      <c r="C16" s="103">
        <v>1309.3</v>
      </c>
      <c r="D16" s="103">
        <v>181.4</v>
      </c>
      <c r="E16" s="49">
        <f t="shared" si="0"/>
        <v>7217750.8269018745</v>
      </c>
      <c r="F16" s="39">
        <v>1981</v>
      </c>
      <c r="G16" s="71">
        <v>7077279</v>
      </c>
      <c r="H16" s="89">
        <f t="shared" si="16"/>
        <v>185.00047829116247</v>
      </c>
      <c r="J16" s="39">
        <v>1574.9</v>
      </c>
      <c r="K16" s="89">
        <f t="shared" si="1"/>
        <v>222.52902563259127</v>
      </c>
      <c r="L16" s="89">
        <f t="shared" si="2"/>
        <v>407.52950392375374</v>
      </c>
      <c r="M16" s="101">
        <f t="shared" si="17"/>
        <v>1981</v>
      </c>
      <c r="N16" s="118">
        <v>261758831</v>
      </c>
      <c r="O16" s="91">
        <f t="shared" si="18"/>
        <v>36.99</v>
      </c>
      <c r="P16" s="91">
        <f t="shared" si="19"/>
        <v>0.2</v>
      </c>
      <c r="Q16" s="91">
        <f t="shared" si="20"/>
        <v>0.09</v>
      </c>
      <c r="R16" s="99">
        <f t="shared" ref="R16:R44" si="27">P16/P15-1</f>
        <v>0.25</v>
      </c>
      <c r="S16" s="99">
        <f t="shared" ref="S16:S44" si="28">Q16/Q15-1</f>
        <v>0.125</v>
      </c>
      <c r="T16" s="99"/>
      <c r="U16" s="39">
        <v>366</v>
      </c>
      <c r="V16" s="102">
        <f t="shared" si="21"/>
        <v>551159400000</v>
      </c>
      <c r="W16" s="102"/>
      <c r="X16" s="101">
        <f t="shared" si="22"/>
        <v>1981</v>
      </c>
      <c r="Y16" s="88">
        <f t="shared" si="23"/>
        <v>4.7492400746499108E-4</v>
      </c>
      <c r="Z16" s="89">
        <f t="shared" si="24"/>
        <v>77877.302844779755</v>
      </c>
      <c r="AA16" s="71">
        <f t="shared" si="25"/>
        <v>7077279</v>
      </c>
      <c r="AB16" s="87">
        <f t="shared" si="26"/>
        <v>261758831</v>
      </c>
      <c r="AC16" s="99"/>
      <c r="AD16" s="115">
        <f t="shared" si="3"/>
        <v>1983</v>
      </c>
      <c r="AE16" s="111">
        <f t="shared" si="4"/>
        <v>-3.2567701369325355</v>
      </c>
      <c r="AF16" s="114">
        <f t="shared" si="5"/>
        <v>67.419709805525969</v>
      </c>
      <c r="AG16" s="113">
        <f t="shared" si="6"/>
        <v>8.5040997975013095</v>
      </c>
      <c r="AH16" s="100">
        <f t="shared" si="7"/>
        <v>8.4718036033034316</v>
      </c>
      <c r="AI16" s="49">
        <f t="shared" si="8"/>
        <v>296349093.62724054</v>
      </c>
      <c r="AO16" s="112">
        <v>1984</v>
      </c>
      <c r="AP16" s="111">
        <f t="shared" si="9"/>
        <v>7.9021060458230194E-2</v>
      </c>
      <c r="AQ16" s="111">
        <f t="shared" ref="AQ16:AQ42" si="29">AR16</f>
        <v>3.1488796646250119</v>
      </c>
      <c r="AR16" s="111">
        <f t="shared" ref="AR16:AR42" si="30">(Z18-Z17)/$AP$11</f>
        <v>3.1488796646250119</v>
      </c>
      <c r="AS16" s="55">
        <f t="shared" si="10"/>
        <v>25610257.999999881</v>
      </c>
      <c r="AT16" s="49"/>
      <c r="AW16" s="112">
        <f t="shared" si="11"/>
        <v>1986</v>
      </c>
      <c r="AX16" s="111">
        <f t="shared" si="12"/>
        <v>4.5561548115705772E-2</v>
      </c>
      <c r="AY16" s="111">
        <f t="shared" si="13"/>
        <v>1.5369464966579836</v>
      </c>
      <c r="AZ16" s="117">
        <f t="shared" si="14"/>
        <v>67378830</v>
      </c>
      <c r="BA16" s="116">
        <f t="shared" si="15"/>
        <v>51241334.940358154</v>
      </c>
    </row>
    <row r="17" spans="2:53" x14ac:dyDescent="0.2">
      <c r="B17" s="103">
        <v>1982</v>
      </c>
      <c r="C17" s="103">
        <v>1382.4</v>
      </c>
      <c r="D17" s="103">
        <v>195.5</v>
      </c>
      <c r="E17" s="49">
        <f t="shared" si="0"/>
        <v>7071099.7442455245</v>
      </c>
      <c r="F17" s="39">
        <v>1982</v>
      </c>
      <c r="G17" s="71">
        <v>7088350</v>
      </c>
      <c r="H17" s="89">
        <f t="shared" si="16"/>
        <v>195.02422989835435</v>
      </c>
      <c r="J17" s="39">
        <v>1574.9</v>
      </c>
      <c r="K17" s="89">
        <f t="shared" si="1"/>
        <v>222.18146677294433</v>
      </c>
      <c r="L17" s="89">
        <f t="shared" si="2"/>
        <v>417.20569667129871</v>
      </c>
      <c r="M17" s="101">
        <f t="shared" si="17"/>
        <v>1982</v>
      </c>
      <c r="N17" s="118">
        <v>264582975</v>
      </c>
      <c r="O17" s="91">
        <f t="shared" si="18"/>
        <v>37.33</v>
      </c>
      <c r="P17" s="91">
        <f t="shared" si="19"/>
        <v>0.19</v>
      </c>
      <c r="Q17" s="91">
        <f t="shared" si="20"/>
        <v>0.09</v>
      </c>
      <c r="R17" s="99">
        <f t="shared" si="27"/>
        <v>-5.0000000000000044E-2</v>
      </c>
      <c r="S17" s="99">
        <f t="shared" si="28"/>
        <v>0</v>
      </c>
      <c r="T17" s="99"/>
      <c r="U17" s="39">
        <v>365</v>
      </c>
      <c r="V17" s="102">
        <f t="shared" si="21"/>
        <v>477894500000</v>
      </c>
      <c r="W17" s="102"/>
      <c r="X17" s="101">
        <f t="shared" si="22"/>
        <v>1982</v>
      </c>
      <c r="Y17" s="88">
        <f t="shared" si="23"/>
        <v>5.5364306347949178E-4</v>
      </c>
      <c r="Z17" s="89">
        <f t="shared" si="24"/>
        <v>67419.70980552597</v>
      </c>
      <c r="AA17" s="71">
        <f t="shared" si="25"/>
        <v>7088350</v>
      </c>
      <c r="AB17" s="87">
        <f t="shared" si="26"/>
        <v>264582974.99999997</v>
      </c>
      <c r="AC17" s="99"/>
      <c r="AD17" s="115">
        <f t="shared" si="3"/>
        <v>1984</v>
      </c>
      <c r="AE17" s="111">
        <f t="shared" si="4"/>
        <v>-3.1988267920899829</v>
      </c>
      <c r="AF17" s="114">
        <f t="shared" si="5"/>
        <v>70.568589470150982</v>
      </c>
      <c r="AG17" s="113">
        <f t="shared" si="6"/>
        <v>8.5376143506113547</v>
      </c>
      <c r="AH17" s="100">
        <f t="shared" si="7"/>
        <v>8.5456981550683313</v>
      </c>
      <c r="AI17" s="49">
        <f t="shared" si="8"/>
        <v>351316182.60357141</v>
      </c>
      <c r="AO17" s="112">
        <v>1985</v>
      </c>
      <c r="AP17" s="111">
        <f t="shared" si="9"/>
        <v>2.9071136586527331E-2</v>
      </c>
      <c r="AQ17" s="111">
        <f t="shared" si="29"/>
        <v>1.8252347741785926</v>
      </c>
      <c r="AR17" s="111">
        <f t="shared" si="30"/>
        <v>1.8252347741785926</v>
      </c>
      <c r="AS17" s="55">
        <f t="shared" si="10"/>
        <v>33371895.00000006</v>
      </c>
      <c r="AT17" s="49"/>
      <c r="AW17" s="112">
        <f t="shared" si="11"/>
        <v>1987</v>
      </c>
      <c r="AX17" s="111">
        <f t="shared" si="12"/>
        <v>0.21349769950916966</v>
      </c>
      <c r="AY17" s="111">
        <f t="shared" si="13"/>
        <v>-7.4305937432214701</v>
      </c>
      <c r="AZ17" s="117">
        <f t="shared" si="14"/>
        <v>-7832741.0000000596</v>
      </c>
      <c r="BA17" s="116">
        <f t="shared" si="15"/>
        <v>-9416659.7547914907</v>
      </c>
    </row>
    <row r="18" spans="2:53" x14ac:dyDescent="0.2">
      <c r="B18" s="103">
        <v>1983</v>
      </c>
      <c r="C18" s="103">
        <v>1423.8</v>
      </c>
      <c r="D18" s="103">
        <v>201.4</v>
      </c>
      <c r="E18" s="49">
        <f t="shared" si="0"/>
        <v>7069513.4061569013</v>
      </c>
      <c r="F18" s="39">
        <v>1983</v>
      </c>
      <c r="G18" s="71">
        <v>7150150</v>
      </c>
      <c r="H18" s="89">
        <f t="shared" si="16"/>
        <v>199.12868960791033</v>
      </c>
      <c r="J18" s="39">
        <v>1574.9</v>
      </c>
      <c r="K18" s="89">
        <f t="shared" si="1"/>
        <v>220.26111340321532</v>
      </c>
      <c r="L18" s="89">
        <f t="shared" si="2"/>
        <v>419.38980301112565</v>
      </c>
      <c r="M18" s="101">
        <f t="shared" si="17"/>
        <v>1983</v>
      </c>
      <c r="N18" s="118">
        <v>319227133</v>
      </c>
      <c r="O18" s="91">
        <f t="shared" si="18"/>
        <v>44.65</v>
      </c>
      <c r="P18" s="91">
        <f t="shared" si="19"/>
        <v>0.22</v>
      </c>
      <c r="Q18" s="91">
        <f t="shared" si="20"/>
        <v>0.11</v>
      </c>
      <c r="R18" s="99">
        <f t="shared" si="27"/>
        <v>0.15789473684210531</v>
      </c>
      <c r="S18" s="99">
        <f t="shared" si="28"/>
        <v>0.22222222222222232</v>
      </c>
      <c r="T18" s="99"/>
      <c r="U18" s="39">
        <v>365</v>
      </c>
      <c r="V18" s="102">
        <f t="shared" si="21"/>
        <v>504576000000</v>
      </c>
      <c r="W18" s="102"/>
      <c r="X18" s="101">
        <f t="shared" si="22"/>
        <v>1983</v>
      </c>
      <c r="Y18" s="88">
        <f t="shared" si="23"/>
        <v>6.3266412393772197E-4</v>
      </c>
      <c r="Z18" s="89">
        <f t="shared" si="24"/>
        <v>70568.589470150982</v>
      </c>
      <c r="AA18" s="71">
        <f t="shared" si="25"/>
        <v>7150150</v>
      </c>
      <c r="AB18" s="87">
        <f t="shared" si="26"/>
        <v>319227133.00000006</v>
      </c>
      <c r="AC18" s="99"/>
      <c r="AD18" s="115">
        <f t="shared" si="3"/>
        <v>1985</v>
      </c>
      <c r="AE18" s="111">
        <f t="shared" si="4"/>
        <v>-3.1793157233840379</v>
      </c>
      <c r="AF18" s="114">
        <f t="shared" si="5"/>
        <v>72.393824244329579</v>
      </c>
      <c r="AG18" s="113">
        <f t="shared" si="6"/>
        <v>8.5777321876741457</v>
      </c>
      <c r="AH18" s="100">
        <f t="shared" si="7"/>
        <v>8.5746424470298557</v>
      </c>
      <c r="AI18" s="49">
        <f t="shared" si="8"/>
        <v>375528106.14405364</v>
      </c>
      <c r="AO18" s="112">
        <v>1986</v>
      </c>
      <c r="AP18" s="111">
        <f t="shared" si="9"/>
        <v>4.5561548115705772E-2</v>
      </c>
      <c r="AQ18" s="111">
        <f t="shared" si="29"/>
        <v>1.5369464966579836</v>
      </c>
      <c r="AR18" s="111">
        <f t="shared" si="30"/>
        <v>1.5369464966579836</v>
      </c>
      <c r="AS18" s="55">
        <f t="shared" si="10"/>
        <v>67378830</v>
      </c>
      <c r="AT18" s="49"/>
      <c r="AW18" s="112">
        <f t="shared" si="11"/>
        <v>1988</v>
      </c>
      <c r="AX18" s="111">
        <f t="shared" si="12"/>
        <v>-3.5288520765938261E-2</v>
      </c>
      <c r="AY18" s="111">
        <f t="shared" si="13"/>
        <v>1.2901294459552883</v>
      </c>
      <c r="AZ18" s="117">
        <f t="shared" si="14"/>
        <v>-3108850.9999998808</v>
      </c>
      <c r="BA18" s="116">
        <f t="shared" si="15"/>
        <v>39879226.160697967</v>
      </c>
    </row>
    <row r="19" spans="2:53" x14ac:dyDescent="0.2">
      <c r="B19" s="103">
        <v>1984</v>
      </c>
      <c r="C19" s="103">
        <v>1465</v>
      </c>
      <c r="D19" s="103">
        <v>207.2</v>
      </c>
      <c r="E19" s="49">
        <f t="shared" si="0"/>
        <v>7070463.3204633212</v>
      </c>
      <c r="F19" s="39">
        <v>1984</v>
      </c>
      <c r="G19" s="71">
        <v>7198277</v>
      </c>
      <c r="H19" s="89">
        <f t="shared" si="16"/>
        <v>203.5209259104644</v>
      </c>
      <c r="J19" s="39">
        <v>1574.9</v>
      </c>
      <c r="K19" s="89">
        <f t="shared" si="1"/>
        <v>218.78846840709241</v>
      </c>
      <c r="L19" s="89">
        <f t="shared" si="2"/>
        <v>422.30939431755678</v>
      </c>
      <c r="M19" s="101">
        <f t="shared" si="17"/>
        <v>1984</v>
      </c>
      <c r="N19" s="118">
        <v>344837391</v>
      </c>
      <c r="O19" s="91">
        <f t="shared" si="18"/>
        <v>47.91</v>
      </c>
      <c r="P19" s="91">
        <f t="shared" si="19"/>
        <v>0.24</v>
      </c>
      <c r="Q19" s="91">
        <f t="shared" si="20"/>
        <v>0.11</v>
      </c>
      <c r="R19" s="99">
        <f t="shared" si="27"/>
        <v>9.0909090909090828E-2</v>
      </c>
      <c r="S19" s="99">
        <f t="shared" si="28"/>
        <v>0</v>
      </c>
      <c r="T19" s="99"/>
      <c r="U19" s="39">
        <f t="shared" ref="U19:U44" si="31">U16</f>
        <v>366</v>
      </c>
      <c r="V19" s="102">
        <f t="shared" si="21"/>
        <v>521110800000</v>
      </c>
      <c r="W19" s="102"/>
      <c r="X19" s="101">
        <f t="shared" si="22"/>
        <v>1984</v>
      </c>
      <c r="Y19" s="88">
        <f t="shared" si="23"/>
        <v>6.617352605242493E-4</v>
      </c>
      <c r="Z19" s="89">
        <f t="shared" si="24"/>
        <v>72393.824244329575</v>
      </c>
      <c r="AA19" s="71">
        <f t="shared" si="25"/>
        <v>7198277</v>
      </c>
      <c r="AB19" s="87">
        <f t="shared" si="26"/>
        <v>344837390.99999994</v>
      </c>
      <c r="AC19" s="99"/>
      <c r="AD19" s="115">
        <f t="shared" si="3"/>
        <v>1986</v>
      </c>
      <c r="AE19" s="111">
        <f t="shared" si="4"/>
        <v>-3.1503983014724577</v>
      </c>
      <c r="AF19" s="114">
        <f t="shared" si="5"/>
        <v>73.930770740987555</v>
      </c>
      <c r="AG19" s="113">
        <f t="shared" si="6"/>
        <v>8.648933599525531</v>
      </c>
      <c r="AH19" s="100">
        <f t="shared" si="7"/>
        <v>8.6113370902194681</v>
      </c>
      <c r="AI19" s="49">
        <f t="shared" si="8"/>
        <v>408636438.25927377</v>
      </c>
      <c r="AO19" s="112">
        <v>1987</v>
      </c>
      <c r="AP19" s="111">
        <f t="shared" si="9"/>
        <v>0.21349769950916966</v>
      </c>
      <c r="AQ19" s="111">
        <f t="shared" si="29"/>
        <v>-7.4305937432214701</v>
      </c>
      <c r="AR19" s="111">
        <f t="shared" si="30"/>
        <v>-7.4305937432214701</v>
      </c>
      <c r="AS19" s="55">
        <f t="shared" si="10"/>
        <v>-7832741.0000000596</v>
      </c>
      <c r="AT19" s="49"/>
      <c r="AW19" s="112">
        <f t="shared" si="11"/>
        <v>1989</v>
      </c>
      <c r="AX19" s="111">
        <f t="shared" si="12"/>
        <v>-6.2268936211013641E-2</v>
      </c>
      <c r="AY19" s="111">
        <f t="shared" si="13"/>
        <v>4.6350969922748337</v>
      </c>
      <c r="AZ19" s="117">
        <f t="shared" si="14"/>
        <v>110985718.99999994</v>
      </c>
      <c r="BA19" s="116">
        <f t="shared" si="15"/>
        <v>66549161.053712413</v>
      </c>
    </row>
    <row r="20" spans="2:53" x14ac:dyDescent="0.2">
      <c r="B20" s="103">
        <v>1985</v>
      </c>
      <c r="C20" s="103">
        <v>1325.8</v>
      </c>
      <c r="D20" s="103">
        <v>187.5</v>
      </c>
      <c r="E20" s="49">
        <f t="shared" si="0"/>
        <v>7070933.333333333</v>
      </c>
      <c r="F20" s="39">
        <v>1985</v>
      </c>
      <c r="G20" s="71">
        <v>7232780</v>
      </c>
      <c r="H20" s="89">
        <f t="shared" si="16"/>
        <v>183.30434494067288</v>
      </c>
      <c r="J20" s="39">
        <v>1574.9</v>
      </c>
      <c r="K20" s="89">
        <f t="shared" si="1"/>
        <v>217.74476757208154</v>
      </c>
      <c r="L20" s="89">
        <f t="shared" si="2"/>
        <v>401.04911251275439</v>
      </c>
      <c r="M20" s="101">
        <f t="shared" si="17"/>
        <v>1985</v>
      </c>
      <c r="N20" s="118">
        <v>378209286</v>
      </c>
      <c r="O20" s="91">
        <f t="shared" si="18"/>
        <v>52.29</v>
      </c>
      <c r="P20" s="91">
        <f t="shared" si="19"/>
        <v>0.28999999999999998</v>
      </c>
      <c r="Q20" s="91">
        <f t="shared" si="20"/>
        <v>0.13</v>
      </c>
      <c r="R20" s="99">
        <f t="shared" si="27"/>
        <v>0.20833333333333326</v>
      </c>
      <c r="S20" s="99">
        <f t="shared" si="28"/>
        <v>0.18181818181818188</v>
      </c>
      <c r="T20" s="99"/>
      <c r="U20" s="39">
        <f t="shared" si="31"/>
        <v>365</v>
      </c>
      <c r="V20" s="102">
        <f t="shared" si="21"/>
        <v>534725000000</v>
      </c>
      <c r="W20" s="102"/>
      <c r="X20" s="101">
        <f t="shared" si="22"/>
        <v>1985</v>
      </c>
      <c r="Y20" s="88">
        <f t="shared" si="23"/>
        <v>7.0729680863995507E-4</v>
      </c>
      <c r="Z20" s="89">
        <f t="shared" si="24"/>
        <v>73930.770740987558</v>
      </c>
      <c r="AA20" s="71">
        <f t="shared" si="25"/>
        <v>7232780</v>
      </c>
      <c r="AB20" s="87">
        <f t="shared" si="26"/>
        <v>378209286</v>
      </c>
      <c r="AC20" s="99"/>
      <c r="AD20" s="115">
        <f t="shared" si="3"/>
        <v>1987</v>
      </c>
      <c r="AE20" s="111">
        <f t="shared" si="4"/>
        <v>-3.0358372796124558</v>
      </c>
      <c r="AF20" s="114">
        <f t="shared" si="5"/>
        <v>66.50017699776609</v>
      </c>
      <c r="AG20" s="113">
        <f t="shared" si="6"/>
        <v>8.6412314872934832</v>
      </c>
      <c r="AH20" s="100">
        <f t="shared" si="7"/>
        <v>8.6849154797315755</v>
      </c>
      <c r="AI20" s="49">
        <f t="shared" si="8"/>
        <v>484078149.49388951</v>
      </c>
      <c r="AO20" s="112">
        <v>1988</v>
      </c>
      <c r="AP20" s="111">
        <f t="shared" si="9"/>
        <v>-3.5288520765938261E-2</v>
      </c>
      <c r="AQ20" s="111">
        <f t="shared" si="29"/>
        <v>1.2901294459552883</v>
      </c>
      <c r="AR20" s="111">
        <f t="shared" si="30"/>
        <v>1.2901294459552883</v>
      </c>
      <c r="AS20" s="55">
        <f t="shared" si="10"/>
        <v>-3108850.9999998808</v>
      </c>
      <c r="AT20" s="49"/>
      <c r="AW20" s="112">
        <f t="shared" si="11"/>
        <v>1990</v>
      </c>
      <c r="AX20" s="111">
        <f t="shared" si="12"/>
        <v>0.18416429496587336</v>
      </c>
      <c r="AY20" s="111">
        <f t="shared" si="13"/>
        <v>1.6300375637526159</v>
      </c>
      <c r="AZ20" s="117">
        <f t="shared" si="14"/>
        <v>25743947.000000119</v>
      </c>
      <c r="BA20" s="116">
        <f t="shared" si="15"/>
        <v>67786335.244924575</v>
      </c>
    </row>
    <row r="21" spans="2:53" x14ac:dyDescent="0.2">
      <c r="B21" s="103">
        <v>1986</v>
      </c>
      <c r="C21" s="103">
        <v>1350.7</v>
      </c>
      <c r="D21" s="103">
        <v>190.4</v>
      </c>
      <c r="E21" s="49">
        <f t="shared" si="0"/>
        <v>7094012.6050420161</v>
      </c>
      <c r="F21" s="39">
        <v>1986</v>
      </c>
      <c r="G21" s="71">
        <v>7276928</v>
      </c>
      <c r="H21" s="89">
        <f t="shared" si="16"/>
        <v>185.61403933088249</v>
      </c>
      <c r="J21" s="39">
        <v>1744.9</v>
      </c>
      <c r="K21" s="89">
        <f t="shared" si="1"/>
        <v>239.78525003957714</v>
      </c>
      <c r="L21" s="89">
        <f t="shared" si="2"/>
        <v>425.39928937045966</v>
      </c>
      <c r="M21" s="101">
        <f t="shared" si="17"/>
        <v>1986</v>
      </c>
      <c r="N21" s="118">
        <v>445588116</v>
      </c>
      <c r="O21" s="91">
        <f t="shared" si="18"/>
        <v>61.23</v>
      </c>
      <c r="P21" s="91">
        <f t="shared" si="19"/>
        <v>0.33</v>
      </c>
      <c r="Q21" s="91">
        <f t="shared" si="20"/>
        <v>0.14000000000000001</v>
      </c>
      <c r="R21" s="99">
        <f t="shared" si="27"/>
        <v>0.13793103448275867</v>
      </c>
      <c r="S21" s="99">
        <f t="shared" si="28"/>
        <v>7.6923076923077094E-2</v>
      </c>
      <c r="T21" s="99"/>
      <c r="U21" s="39">
        <f t="shared" si="31"/>
        <v>365</v>
      </c>
      <c r="V21" s="102">
        <f t="shared" si="21"/>
        <v>483917000000</v>
      </c>
      <c r="W21" s="102"/>
      <c r="X21" s="101">
        <f t="shared" si="22"/>
        <v>1986</v>
      </c>
      <c r="Y21" s="88">
        <f t="shared" si="23"/>
        <v>9.2079450814912473E-4</v>
      </c>
      <c r="Z21" s="89">
        <f t="shared" si="24"/>
        <v>66500.176997766088</v>
      </c>
      <c r="AA21" s="71">
        <f t="shared" si="25"/>
        <v>7276928</v>
      </c>
      <c r="AB21" s="87">
        <f t="shared" si="26"/>
        <v>445588116</v>
      </c>
      <c r="AC21" s="99"/>
      <c r="AD21" s="115">
        <f t="shared" si="3"/>
        <v>1988</v>
      </c>
      <c r="AE21" s="111">
        <f t="shared" si="4"/>
        <v>-3.0528084979649419</v>
      </c>
      <c r="AF21" s="114">
        <f t="shared" si="5"/>
        <v>67.790306443721377</v>
      </c>
      <c r="AG21" s="113">
        <f t="shared" si="6"/>
        <v>8.6381362107904724</v>
      </c>
      <c r="AH21" s="100">
        <f t="shared" si="7"/>
        <v>8.675021009574623</v>
      </c>
      <c r="AI21" s="49">
        <f t="shared" si="8"/>
        <v>473174148.83816302</v>
      </c>
      <c r="AO21" s="112">
        <v>1989</v>
      </c>
      <c r="AP21" s="111">
        <f t="shared" si="9"/>
        <v>-6.2268936211013641E-2</v>
      </c>
      <c r="AQ21" s="111">
        <f t="shared" si="29"/>
        <v>4.6350969922748337</v>
      </c>
      <c r="AR21" s="111">
        <f t="shared" si="30"/>
        <v>4.6350969922748337</v>
      </c>
      <c r="AS21" s="55">
        <f t="shared" si="10"/>
        <v>110985718.99999994</v>
      </c>
      <c r="AT21" s="49"/>
      <c r="AW21" s="112">
        <f t="shared" si="11"/>
        <v>1991</v>
      </c>
      <c r="AX21" s="111">
        <f t="shared" si="12"/>
        <v>0.10634419937635849</v>
      </c>
      <c r="AY21" s="111">
        <f t="shared" si="13"/>
        <v>-3.9949813028448409</v>
      </c>
      <c r="AZ21" s="117">
        <f t="shared" si="14"/>
        <v>25001578.999999881</v>
      </c>
      <c r="BA21" s="116">
        <f t="shared" si="15"/>
        <v>8967243.6121046022</v>
      </c>
    </row>
    <row r="22" spans="2:53" x14ac:dyDescent="0.2">
      <c r="B22" s="103">
        <v>1987</v>
      </c>
      <c r="C22" s="103">
        <v>1446.5</v>
      </c>
      <c r="D22" s="103">
        <v>201.9</v>
      </c>
      <c r="E22" s="49">
        <f t="shared" si="0"/>
        <v>7164437.840515106</v>
      </c>
      <c r="F22" s="39">
        <v>1987</v>
      </c>
      <c r="G22" s="71">
        <v>7292432</v>
      </c>
      <c r="H22" s="89">
        <f t="shared" si="16"/>
        <v>198.35632337744116</v>
      </c>
      <c r="J22" s="39">
        <v>1804.9</v>
      </c>
      <c r="K22" s="89">
        <f t="shared" si="1"/>
        <v>247.50316492495233</v>
      </c>
      <c r="L22" s="89">
        <f t="shared" si="2"/>
        <v>445.85948830239352</v>
      </c>
      <c r="M22" s="101">
        <f t="shared" si="17"/>
        <v>1987</v>
      </c>
      <c r="N22" s="118">
        <v>437755375</v>
      </c>
      <c r="O22" s="91">
        <f t="shared" si="18"/>
        <v>60.03</v>
      </c>
      <c r="P22" s="91">
        <f t="shared" si="19"/>
        <v>0.3</v>
      </c>
      <c r="Q22" s="91">
        <f t="shared" si="20"/>
        <v>0.13</v>
      </c>
      <c r="R22" s="99">
        <f t="shared" si="27"/>
        <v>-9.0909090909090939E-2</v>
      </c>
      <c r="S22" s="99">
        <f t="shared" si="28"/>
        <v>-7.1428571428571508E-2</v>
      </c>
      <c r="T22" s="99"/>
      <c r="U22" s="39">
        <f t="shared" si="31"/>
        <v>366</v>
      </c>
      <c r="V22" s="102">
        <f t="shared" si="21"/>
        <v>494356200000</v>
      </c>
      <c r="W22" s="102"/>
      <c r="X22" s="101">
        <f t="shared" si="22"/>
        <v>1987</v>
      </c>
      <c r="Y22" s="88">
        <f t="shared" si="23"/>
        <v>8.8550598738318647E-4</v>
      </c>
      <c r="Z22" s="89">
        <f t="shared" si="24"/>
        <v>67790.306443721376</v>
      </c>
      <c r="AA22" s="71">
        <f t="shared" si="25"/>
        <v>7292432</v>
      </c>
      <c r="AB22" s="87">
        <f t="shared" si="26"/>
        <v>437755374.99999994</v>
      </c>
      <c r="AC22" s="99"/>
      <c r="AD22" s="115">
        <f t="shared" si="3"/>
        <v>1989</v>
      </c>
      <c r="AE22" s="111">
        <f t="shared" si="4"/>
        <v>-3.0844750916500048</v>
      </c>
      <c r="AF22" s="114">
        <f t="shared" si="5"/>
        <v>72.425403435996216</v>
      </c>
      <c r="AG22" s="113">
        <f t="shared" si="6"/>
        <v>8.7369000261338225</v>
      </c>
      <c r="AH22" s="100">
        <f t="shared" si="7"/>
        <v>8.6683896052389375</v>
      </c>
      <c r="AI22" s="49">
        <f t="shared" si="8"/>
        <v>466003957.84698147</v>
      </c>
      <c r="AO22" s="112">
        <v>1990</v>
      </c>
      <c r="AP22" s="111">
        <f t="shared" si="9"/>
        <v>0.18416429496587336</v>
      </c>
      <c r="AQ22" s="111">
        <f t="shared" si="29"/>
        <v>1.6300375637526159</v>
      </c>
      <c r="AR22" s="111">
        <f t="shared" si="30"/>
        <v>1.6300375637526159</v>
      </c>
      <c r="AS22" s="55">
        <f t="shared" si="10"/>
        <v>25743947.000000119</v>
      </c>
      <c r="AT22" s="49"/>
      <c r="AW22" s="112">
        <f t="shared" si="11"/>
        <v>1992</v>
      </c>
      <c r="AX22" s="111">
        <f t="shared" si="12"/>
        <v>3.382552899775372E-2</v>
      </c>
      <c r="AY22" s="111">
        <f t="shared" si="13"/>
        <v>1.0858681530828909</v>
      </c>
      <c r="AZ22" s="117">
        <f t="shared" si="14"/>
        <v>47746205</v>
      </c>
      <c r="BA22" s="116">
        <f t="shared" si="15"/>
        <v>45901353.416698158</v>
      </c>
    </row>
    <row r="23" spans="2:53" x14ac:dyDescent="0.2">
      <c r="B23" s="103">
        <v>1988</v>
      </c>
      <c r="C23" s="103">
        <v>1483.9</v>
      </c>
      <c r="D23" s="103">
        <v>208.3</v>
      </c>
      <c r="E23" s="49">
        <f t="shared" si="0"/>
        <v>7123859.8175708111</v>
      </c>
      <c r="F23" s="39">
        <v>1988</v>
      </c>
      <c r="G23" s="71">
        <v>7289880</v>
      </c>
      <c r="H23" s="89">
        <f t="shared" si="16"/>
        <v>203.55616279005963</v>
      </c>
      <c r="J23" s="39">
        <v>1804.9</v>
      </c>
      <c r="K23" s="89">
        <f t="shared" si="1"/>
        <v>247.58980943444885</v>
      </c>
      <c r="L23" s="89">
        <f t="shared" si="2"/>
        <v>451.14597222450845</v>
      </c>
      <c r="M23" s="101">
        <f t="shared" si="17"/>
        <v>1988</v>
      </c>
      <c r="N23" s="118">
        <v>434646524</v>
      </c>
      <c r="O23" s="91">
        <f t="shared" si="18"/>
        <v>59.62</v>
      </c>
      <c r="P23" s="91">
        <f t="shared" si="19"/>
        <v>0.28999999999999998</v>
      </c>
      <c r="Q23" s="91">
        <f t="shared" si="20"/>
        <v>0.13</v>
      </c>
      <c r="R23" s="99">
        <f t="shared" si="27"/>
        <v>-3.3333333333333326E-2</v>
      </c>
      <c r="S23" s="99">
        <f t="shared" si="28"/>
        <v>0</v>
      </c>
      <c r="T23" s="99"/>
      <c r="U23" s="39">
        <f t="shared" si="31"/>
        <v>365</v>
      </c>
      <c r="V23" s="102">
        <f t="shared" si="21"/>
        <v>527972500000</v>
      </c>
      <c r="W23" s="102"/>
      <c r="X23" s="101">
        <f t="shared" si="22"/>
        <v>1988</v>
      </c>
      <c r="Y23" s="88">
        <f t="shared" si="23"/>
        <v>8.2323705117217283E-4</v>
      </c>
      <c r="Z23" s="89">
        <f t="shared" si="24"/>
        <v>72425.40343599621</v>
      </c>
      <c r="AA23" s="71">
        <f t="shared" si="25"/>
        <v>7289880</v>
      </c>
      <c r="AB23" s="87">
        <f t="shared" si="26"/>
        <v>434646524.00000006</v>
      </c>
      <c r="AC23" s="99"/>
      <c r="AD23" s="115">
        <f t="shared" si="3"/>
        <v>1990</v>
      </c>
      <c r="AE23" s="111">
        <f t="shared" si="4"/>
        <v>-2.9967974731527818</v>
      </c>
      <c r="AF23" s="114">
        <f t="shared" si="5"/>
        <v>74.055440999748825</v>
      </c>
      <c r="AG23" s="113">
        <f t="shared" si="6"/>
        <v>8.7569221387995011</v>
      </c>
      <c r="AH23" s="100">
        <f t="shared" si="7"/>
        <v>8.7635574125397184</v>
      </c>
      <c r="AI23" s="49">
        <f t="shared" si="8"/>
        <v>580172864.71528852</v>
      </c>
      <c r="AO23" s="112">
        <v>1991</v>
      </c>
      <c r="AP23" s="111">
        <f t="shared" si="9"/>
        <v>0.10634419937635849</v>
      </c>
      <c r="AQ23" s="111">
        <f t="shared" si="29"/>
        <v>-3.9949813028448409</v>
      </c>
      <c r="AR23" s="111">
        <f t="shared" si="30"/>
        <v>-3.9949813028448409</v>
      </c>
      <c r="AS23" s="55">
        <f t="shared" si="10"/>
        <v>25001578.999999881</v>
      </c>
      <c r="AT23" s="49"/>
      <c r="AW23" s="112">
        <f t="shared" si="11"/>
        <v>1993</v>
      </c>
      <c r="AX23" s="111">
        <f t="shared" si="12"/>
        <v>3.182023501023426E-2</v>
      </c>
      <c r="AY23" s="111">
        <f t="shared" si="13"/>
        <v>3.6185387223594736</v>
      </c>
      <c r="AZ23" s="117">
        <f t="shared" si="14"/>
        <v>64997875.000000119</v>
      </c>
      <c r="BA23" s="116">
        <f t="shared" si="15"/>
        <v>68183916.323117942</v>
      </c>
    </row>
    <row r="24" spans="2:53" x14ac:dyDescent="0.2">
      <c r="B24" s="103">
        <v>1989</v>
      </c>
      <c r="C24" s="103">
        <v>1401.7</v>
      </c>
      <c r="D24" s="103">
        <v>198.2</v>
      </c>
      <c r="E24" s="49">
        <f t="shared" si="0"/>
        <v>7072149.344096872</v>
      </c>
      <c r="F24" s="39">
        <v>1989</v>
      </c>
      <c r="G24" s="71">
        <v>7313757</v>
      </c>
      <c r="H24" s="89">
        <f t="shared" si="16"/>
        <v>191.65252550775205</v>
      </c>
      <c r="J24" s="39">
        <v>1804.9</v>
      </c>
      <c r="K24" s="89">
        <f t="shared" si="1"/>
        <v>246.78151051504719</v>
      </c>
      <c r="L24" s="89">
        <f t="shared" si="2"/>
        <v>438.43403602279921</v>
      </c>
      <c r="M24" s="101">
        <f t="shared" si="17"/>
        <v>1989</v>
      </c>
      <c r="N24" s="118">
        <v>545632243</v>
      </c>
      <c r="O24" s="91">
        <f t="shared" si="18"/>
        <v>74.599999999999994</v>
      </c>
      <c r="P24" s="91">
        <f t="shared" si="19"/>
        <v>0.39</v>
      </c>
      <c r="Q24" s="91">
        <f t="shared" si="20"/>
        <v>0.17</v>
      </c>
      <c r="R24" s="99">
        <f t="shared" si="27"/>
        <v>0.3448275862068968</v>
      </c>
      <c r="S24" s="99">
        <f t="shared" si="28"/>
        <v>0.30769230769230771</v>
      </c>
      <c r="T24" s="99"/>
      <c r="U24" s="39">
        <f t="shared" si="31"/>
        <v>365</v>
      </c>
      <c r="V24" s="102">
        <f t="shared" si="21"/>
        <v>541623500000</v>
      </c>
      <c r="W24" s="102"/>
      <c r="X24" s="101">
        <f t="shared" si="22"/>
        <v>1989</v>
      </c>
      <c r="Y24" s="88">
        <f t="shared" si="23"/>
        <v>1.0074013461380462E-3</v>
      </c>
      <c r="Z24" s="89">
        <f t="shared" si="24"/>
        <v>74055.440999748826</v>
      </c>
      <c r="AA24" s="71">
        <f t="shared" si="25"/>
        <v>7313757</v>
      </c>
      <c r="AB24" s="87">
        <f t="shared" si="26"/>
        <v>545632243</v>
      </c>
      <c r="AC24" s="99"/>
      <c r="AD24" s="115">
        <f t="shared" si="3"/>
        <v>1991</v>
      </c>
      <c r="AE24" s="111">
        <f t="shared" si="4"/>
        <v>-2.9532140199358836</v>
      </c>
      <c r="AF24" s="114">
        <f t="shared" si="5"/>
        <v>70.06045969690399</v>
      </c>
      <c r="AG24" s="113">
        <f t="shared" si="6"/>
        <v>8.7755214460140643</v>
      </c>
      <c r="AH24" s="100">
        <f t="shared" si="7"/>
        <v>8.7853464615456343</v>
      </c>
      <c r="AI24" s="49">
        <f t="shared" si="8"/>
        <v>610023353.69394815</v>
      </c>
      <c r="AO24" s="112">
        <v>1992</v>
      </c>
      <c r="AP24" s="111">
        <f t="shared" si="9"/>
        <v>3.382552899775372E-2</v>
      </c>
      <c r="AQ24" s="111">
        <f t="shared" si="29"/>
        <v>1.0858681530828909</v>
      </c>
      <c r="AR24" s="111">
        <f t="shared" si="30"/>
        <v>1.0858681530828909</v>
      </c>
      <c r="AS24" s="55">
        <f t="shared" si="10"/>
        <v>47746205</v>
      </c>
      <c r="AT24" s="49"/>
      <c r="AW24" s="112">
        <f t="shared" si="11"/>
        <v>1994</v>
      </c>
      <c r="AX24" s="111">
        <f t="shared" si="12"/>
        <v>0.23628265709340637</v>
      </c>
      <c r="AY24" s="111">
        <f t="shared" si="13"/>
        <v>-6.4196352001643824</v>
      </c>
      <c r="AZ24" s="117">
        <f t="shared" si="14"/>
        <v>8723813.9999998808</v>
      </c>
      <c r="BA24" s="116">
        <f t="shared" si="15"/>
        <v>2152401.2035372257</v>
      </c>
    </row>
    <row r="25" spans="2:53" x14ac:dyDescent="0.2">
      <c r="B25" s="103">
        <v>1990</v>
      </c>
      <c r="C25" s="103">
        <v>1423.8</v>
      </c>
      <c r="D25" s="103">
        <v>201.3</v>
      </c>
      <c r="E25" s="49">
        <f t="shared" si="0"/>
        <v>7073025.3353204168</v>
      </c>
      <c r="F25" s="39">
        <v>1990</v>
      </c>
      <c r="G25" s="71">
        <v>7322564</v>
      </c>
      <c r="H25" s="89">
        <f t="shared" si="16"/>
        <v>194.44008956425645</v>
      </c>
      <c r="J25" s="39">
        <v>1804.9</v>
      </c>
      <c r="K25" s="89">
        <f t="shared" si="1"/>
        <v>246.48470126037819</v>
      </c>
      <c r="L25" s="89">
        <f t="shared" si="2"/>
        <v>440.92479082463467</v>
      </c>
      <c r="M25" s="101">
        <f t="shared" si="17"/>
        <v>1990</v>
      </c>
      <c r="N25" s="118">
        <v>571376190</v>
      </c>
      <c r="O25" s="91">
        <f t="shared" si="18"/>
        <v>78.03</v>
      </c>
      <c r="P25" s="91">
        <f t="shared" si="19"/>
        <v>0.4</v>
      </c>
      <c r="Q25" s="91">
        <f t="shared" si="20"/>
        <v>0.18</v>
      </c>
      <c r="R25" s="99">
        <f t="shared" si="27"/>
        <v>2.5641025641025772E-2</v>
      </c>
      <c r="S25" s="99">
        <f t="shared" si="28"/>
        <v>5.8823529411764497E-2</v>
      </c>
      <c r="T25" s="99"/>
      <c r="U25" s="39">
        <f t="shared" si="31"/>
        <v>366</v>
      </c>
      <c r="V25" s="102">
        <f t="shared" si="21"/>
        <v>513022200000</v>
      </c>
      <c r="W25" s="102"/>
      <c r="X25" s="101">
        <f t="shared" si="22"/>
        <v>1990</v>
      </c>
      <c r="Y25" s="88">
        <f t="shared" si="23"/>
        <v>1.1137455455144047E-3</v>
      </c>
      <c r="Z25" s="89">
        <f t="shared" si="24"/>
        <v>70060.459696903985</v>
      </c>
      <c r="AA25" s="71">
        <f t="shared" si="25"/>
        <v>7322564</v>
      </c>
      <c r="AB25" s="87">
        <f t="shared" si="26"/>
        <v>571376190.00000012</v>
      </c>
      <c r="AC25" s="99"/>
      <c r="AD25" s="115">
        <f t="shared" si="3"/>
        <v>1992</v>
      </c>
      <c r="AE25" s="111">
        <f t="shared" si="4"/>
        <v>-2.9402204070433928</v>
      </c>
      <c r="AF25" s="114">
        <f t="shared" si="5"/>
        <v>71.146327849986875</v>
      </c>
      <c r="AG25" s="113">
        <f t="shared" si="6"/>
        <v>8.8089694636989098</v>
      </c>
      <c r="AH25" s="100">
        <f t="shared" si="7"/>
        <v>8.8039336529565961</v>
      </c>
      <c r="AI25" s="49">
        <f t="shared" si="8"/>
        <v>636698245.26945603</v>
      </c>
      <c r="AO25" s="112">
        <v>1993</v>
      </c>
      <c r="AP25" s="111">
        <f t="shared" si="9"/>
        <v>3.182023501023426E-2</v>
      </c>
      <c r="AQ25" s="111">
        <f t="shared" si="29"/>
        <v>3.6185387223594736</v>
      </c>
      <c r="AR25" s="111">
        <f t="shared" si="30"/>
        <v>3.6185387223594736</v>
      </c>
      <c r="AS25" s="55">
        <f t="shared" si="10"/>
        <v>64997875.000000119</v>
      </c>
      <c r="AT25" s="49"/>
      <c r="AW25" s="112">
        <f t="shared" si="11"/>
        <v>1995</v>
      </c>
      <c r="AX25" s="111">
        <f t="shared" si="12"/>
        <v>2.1447295039548092E-2</v>
      </c>
      <c r="AY25" s="111">
        <f t="shared" si="13"/>
        <v>-2.3647451189064013</v>
      </c>
      <c r="AZ25" s="117">
        <f t="shared" si="14"/>
        <v>20715723</v>
      </c>
      <c r="BA25" s="116">
        <f t="shared" si="15"/>
        <v>13829165.61559128</v>
      </c>
    </row>
    <row r="26" spans="2:53" x14ac:dyDescent="0.2">
      <c r="B26" s="103">
        <v>1991</v>
      </c>
      <c r="C26" s="103">
        <v>1496.3</v>
      </c>
      <c r="D26" s="103">
        <v>204.1</v>
      </c>
      <c r="E26" s="49">
        <f t="shared" si="0"/>
        <v>7331210.1910828026</v>
      </c>
      <c r="F26" s="39">
        <v>1991</v>
      </c>
      <c r="G26" s="71">
        <v>7304481</v>
      </c>
      <c r="H26" s="89">
        <f t="shared" si="16"/>
        <v>204.84686044087184</v>
      </c>
      <c r="J26" s="39">
        <v>1804.9</v>
      </c>
      <c r="K26" s="89">
        <f t="shared" si="1"/>
        <v>247.09489969239431</v>
      </c>
      <c r="L26" s="89">
        <f t="shared" si="2"/>
        <v>451.94176013326614</v>
      </c>
      <c r="M26" s="101">
        <f t="shared" si="17"/>
        <v>1991</v>
      </c>
      <c r="N26" s="118">
        <v>596377769</v>
      </c>
      <c r="O26" s="91">
        <f t="shared" si="18"/>
        <v>81.650000000000006</v>
      </c>
      <c r="P26" s="91">
        <f t="shared" si="19"/>
        <v>0.4</v>
      </c>
      <c r="Q26" s="91">
        <f t="shared" si="20"/>
        <v>0.18</v>
      </c>
      <c r="R26" s="99">
        <f t="shared" si="27"/>
        <v>0</v>
      </c>
      <c r="S26" s="99">
        <f t="shared" si="28"/>
        <v>0</v>
      </c>
      <c r="T26" s="99"/>
      <c r="U26" s="39">
        <f t="shared" si="31"/>
        <v>365</v>
      </c>
      <c r="V26" s="102">
        <f t="shared" si="21"/>
        <v>519687000000</v>
      </c>
      <c r="W26" s="102"/>
      <c r="X26" s="101">
        <f t="shared" si="22"/>
        <v>1991</v>
      </c>
      <c r="Y26" s="88">
        <f t="shared" si="23"/>
        <v>1.1475710745121584E-3</v>
      </c>
      <c r="Z26" s="89">
        <f t="shared" si="24"/>
        <v>71146.327849986876</v>
      </c>
      <c r="AA26" s="71">
        <f t="shared" si="25"/>
        <v>7304481</v>
      </c>
      <c r="AB26" s="87">
        <f t="shared" si="26"/>
        <v>596377769</v>
      </c>
      <c r="AC26" s="99"/>
      <c r="AD26" s="115">
        <f t="shared" si="3"/>
        <v>1993</v>
      </c>
      <c r="AE26" s="111">
        <f t="shared" si="4"/>
        <v>-2.9283420766941926</v>
      </c>
      <c r="AF26" s="114">
        <f t="shared" si="5"/>
        <v>74.764866572346349</v>
      </c>
      <c r="AG26" s="113">
        <f t="shared" si="6"/>
        <v>8.8507208667790653</v>
      </c>
      <c r="AH26" s="100">
        <f t="shared" si="7"/>
        <v>8.8348698178703806</v>
      </c>
      <c r="AI26" s="49">
        <f t="shared" si="8"/>
        <v>683706671.77360606</v>
      </c>
      <c r="AO26" s="112">
        <v>1994</v>
      </c>
      <c r="AP26" s="111">
        <f t="shared" si="9"/>
        <v>0.23628265709340637</v>
      </c>
      <c r="AQ26" s="111">
        <f t="shared" si="29"/>
        <v>-6.4196352001643824</v>
      </c>
      <c r="AR26" s="111">
        <f t="shared" si="30"/>
        <v>-6.4196352001643824</v>
      </c>
      <c r="AS26" s="55">
        <f t="shared" si="10"/>
        <v>8723813.9999998808</v>
      </c>
      <c r="AT26" s="49"/>
      <c r="AW26" s="112">
        <f t="shared" si="11"/>
        <v>1996</v>
      </c>
      <c r="AX26" s="111">
        <f t="shared" si="12"/>
        <v>5.3234378069772201E-2</v>
      </c>
      <c r="AY26" s="111">
        <f t="shared" si="13"/>
        <v>-1.0574018727404182</v>
      </c>
      <c r="AZ26" s="117">
        <f t="shared" si="14"/>
        <v>-7598180</v>
      </c>
      <c r="BA26" s="116">
        <f t="shared" si="15"/>
        <v>29053291.236961119</v>
      </c>
    </row>
    <row r="27" spans="2:53" x14ac:dyDescent="0.2">
      <c r="B27" s="103">
        <v>1992</v>
      </c>
      <c r="C27" s="103">
        <v>1368.6</v>
      </c>
      <c r="D27" s="103">
        <v>186.9</v>
      </c>
      <c r="E27" s="49">
        <f t="shared" si="0"/>
        <v>7322632.4237560192</v>
      </c>
      <c r="F27" s="39">
        <v>1992</v>
      </c>
      <c r="G27" s="71">
        <v>7304895</v>
      </c>
      <c r="H27" s="89">
        <f t="shared" si="16"/>
        <v>187.35382233420194</v>
      </c>
      <c r="J27" s="39">
        <v>1804.9</v>
      </c>
      <c r="K27" s="89">
        <f t="shared" si="1"/>
        <v>247.08089575551736</v>
      </c>
      <c r="L27" s="89">
        <f t="shared" si="2"/>
        <v>434.4347180897193</v>
      </c>
      <c r="M27" s="101">
        <f t="shared" si="17"/>
        <v>1992</v>
      </c>
      <c r="N27" s="118">
        <v>644123974</v>
      </c>
      <c r="O27" s="91">
        <f t="shared" si="18"/>
        <v>88.18</v>
      </c>
      <c r="P27" s="91">
        <f t="shared" si="19"/>
        <v>0.47</v>
      </c>
      <c r="Q27" s="91">
        <f t="shared" si="20"/>
        <v>0.2</v>
      </c>
      <c r="R27" s="99">
        <f t="shared" si="27"/>
        <v>0.17499999999999982</v>
      </c>
      <c r="S27" s="99">
        <f t="shared" si="28"/>
        <v>0.11111111111111116</v>
      </c>
      <c r="T27" s="99"/>
      <c r="U27" s="39">
        <f t="shared" si="31"/>
        <v>365</v>
      </c>
      <c r="V27" s="102">
        <f t="shared" si="21"/>
        <v>546149500000</v>
      </c>
      <c r="W27" s="102"/>
      <c r="X27" s="101">
        <f t="shared" si="22"/>
        <v>1992</v>
      </c>
      <c r="Y27" s="88">
        <f t="shared" si="23"/>
        <v>1.1793913095223926E-3</v>
      </c>
      <c r="Z27" s="89">
        <f t="shared" si="24"/>
        <v>74764.866572346349</v>
      </c>
      <c r="AA27" s="71">
        <f t="shared" si="25"/>
        <v>7304895</v>
      </c>
      <c r="AB27" s="87">
        <f t="shared" si="26"/>
        <v>644123974</v>
      </c>
      <c r="AC27" s="99"/>
      <c r="AD27" s="115">
        <f t="shared" si="3"/>
        <v>1994</v>
      </c>
      <c r="AE27" s="111">
        <f t="shared" si="4"/>
        <v>-2.8490367542756379</v>
      </c>
      <c r="AF27" s="114">
        <f t="shared" si="5"/>
        <v>68.345231372181971</v>
      </c>
      <c r="AG27" s="113">
        <f t="shared" si="6"/>
        <v>8.8560310808545228</v>
      </c>
      <c r="AH27" s="100">
        <f t="shared" si="7"/>
        <v>8.8790298977194801</v>
      </c>
      <c r="AI27" s="49">
        <f t="shared" si="8"/>
        <v>756884998.73726439</v>
      </c>
      <c r="AO27" s="112">
        <v>1995</v>
      </c>
      <c r="AP27" s="111">
        <f t="shared" si="9"/>
        <v>2.1447295039548092E-2</v>
      </c>
      <c r="AQ27" s="111">
        <f t="shared" si="29"/>
        <v>-2.3647451189064013</v>
      </c>
      <c r="AR27" s="111">
        <f t="shared" si="30"/>
        <v>-2.3647451189064013</v>
      </c>
      <c r="AS27" s="55">
        <f t="shared" si="10"/>
        <v>20715723</v>
      </c>
      <c r="AT27" s="49"/>
      <c r="AW27" s="112">
        <f t="shared" si="11"/>
        <v>1997</v>
      </c>
      <c r="AX27" s="111">
        <f t="shared" si="12"/>
        <v>1.6144495681229623E-2</v>
      </c>
      <c r="AY27" s="111">
        <f t="shared" si="13"/>
        <v>-1.8862223185493421</v>
      </c>
      <c r="AZ27" s="117">
        <f t="shared" si="14"/>
        <v>44355052</v>
      </c>
      <c r="BA27" s="116">
        <f t="shared" si="15"/>
        <v>17480858.322165489</v>
      </c>
    </row>
    <row r="28" spans="2:53" x14ac:dyDescent="0.2">
      <c r="B28" s="103">
        <v>1993</v>
      </c>
      <c r="C28" s="103">
        <v>1368.5</v>
      </c>
      <c r="D28" s="103">
        <v>186.9</v>
      </c>
      <c r="E28" s="49">
        <f t="shared" si="0"/>
        <v>7322097.3782771537</v>
      </c>
      <c r="F28" s="39">
        <v>1993</v>
      </c>
      <c r="G28" s="71">
        <v>7329079</v>
      </c>
      <c r="H28" s="89">
        <f t="shared" si="16"/>
        <v>186.72196056284835</v>
      </c>
      <c r="J28" s="39">
        <v>1804.9</v>
      </c>
      <c r="K28" s="89">
        <f t="shared" si="1"/>
        <v>246.26559489944097</v>
      </c>
      <c r="L28" s="89">
        <f t="shared" si="2"/>
        <v>432.98755546228932</v>
      </c>
      <c r="M28" s="101">
        <f t="shared" si="17"/>
        <v>1993</v>
      </c>
      <c r="N28" s="118">
        <v>709121849</v>
      </c>
      <c r="O28" s="91">
        <f t="shared" si="18"/>
        <v>96.75</v>
      </c>
      <c r="P28" s="91">
        <f t="shared" si="19"/>
        <v>0.52</v>
      </c>
      <c r="Q28" s="91">
        <f t="shared" si="20"/>
        <v>0.22</v>
      </c>
      <c r="R28" s="99">
        <f t="shared" si="27"/>
        <v>0.1063829787234043</v>
      </c>
      <c r="S28" s="99">
        <f t="shared" si="28"/>
        <v>9.9999999999999867E-2</v>
      </c>
      <c r="T28" s="99"/>
      <c r="U28" s="39">
        <f t="shared" si="31"/>
        <v>366</v>
      </c>
      <c r="V28" s="102">
        <f t="shared" si="21"/>
        <v>500907600000</v>
      </c>
      <c r="W28" s="102"/>
      <c r="X28" s="101">
        <f t="shared" si="22"/>
        <v>1993</v>
      </c>
      <c r="Y28" s="88">
        <f t="shared" si="23"/>
        <v>1.415673966615799E-3</v>
      </c>
      <c r="Z28" s="89">
        <f t="shared" si="24"/>
        <v>68345.231372181966</v>
      </c>
      <c r="AA28" s="71">
        <f t="shared" si="25"/>
        <v>7329079</v>
      </c>
      <c r="AB28" s="87">
        <f t="shared" si="26"/>
        <v>709121849.00000012</v>
      </c>
      <c r="AC28" s="99"/>
      <c r="AD28" s="115">
        <f t="shared" si="3"/>
        <v>1995</v>
      </c>
      <c r="AE28" s="111">
        <f t="shared" si="4"/>
        <v>-2.8425065853480942</v>
      </c>
      <c r="AF28" s="114">
        <f t="shared" si="5"/>
        <v>65.980486253275572</v>
      </c>
      <c r="AG28" s="113">
        <f t="shared" si="6"/>
        <v>8.8683865978106233</v>
      </c>
      <c r="AH28" s="100">
        <f t="shared" si="7"/>
        <v>8.8729155513458959</v>
      </c>
      <c r="AI28" s="49">
        <f t="shared" si="8"/>
        <v>746303625.40173042</v>
      </c>
      <c r="AO28" s="112">
        <v>1996</v>
      </c>
      <c r="AP28" s="111">
        <f t="shared" si="9"/>
        <v>5.3234378069772201E-2</v>
      </c>
      <c r="AQ28" s="111">
        <f t="shared" si="29"/>
        <v>-1.0574018727404182</v>
      </c>
      <c r="AR28" s="111">
        <f t="shared" si="30"/>
        <v>-1.0574018727404182</v>
      </c>
      <c r="AS28" s="55">
        <f t="shared" si="10"/>
        <v>-7598180</v>
      </c>
      <c r="AT28" s="49"/>
      <c r="AW28" s="112">
        <f t="shared" si="11"/>
        <v>1998</v>
      </c>
      <c r="AX28" s="111">
        <f t="shared" si="12"/>
        <v>0.13011255506202624</v>
      </c>
      <c r="AY28" s="111">
        <f t="shared" si="13"/>
        <v>-2.0943041761172134</v>
      </c>
      <c r="AZ28" s="117">
        <f t="shared" si="14"/>
        <v>47481906</v>
      </c>
      <c r="BA28" s="116">
        <f t="shared" si="15"/>
        <v>28555496.539329518</v>
      </c>
    </row>
    <row r="29" spans="2:53" x14ac:dyDescent="0.2">
      <c r="B29" s="103">
        <v>1994</v>
      </c>
      <c r="C29" s="103">
        <v>1357.7</v>
      </c>
      <c r="D29" s="103">
        <v>185.4</v>
      </c>
      <c r="E29" s="49">
        <f t="shared" si="0"/>
        <v>7323085.2211434729</v>
      </c>
      <c r="F29" s="39">
        <v>1994</v>
      </c>
      <c r="G29" s="71">
        <v>7570458</v>
      </c>
      <c r="H29" s="89">
        <f t="shared" si="16"/>
        <v>179.34185752037723</v>
      </c>
      <c r="J29" s="39">
        <v>1804.9</v>
      </c>
      <c r="K29" s="89">
        <f t="shared" si="1"/>
        <v>238.41358078996012</v>
      </c>
      <c r="L29" s="89">
        <f t="shared" si="2"/>
        <v>417.75543831033735</v>
      </c>
      <c r="M29" s="101">
        <f t="shared" si="17"/>
        <v>1994</v>
      </c>
      <c r="N29" s="118">
        <v>717845663</v>
      </c>
      <c r="O29" s="91">
        <f t="shared" si="18"/>
        <v>94.82</v>
      </c>
      <c r="P29" s="91">
        <f t="shared" si="19"/>
        <v>0.53</v>
      </c>
      <c r="Q29" s="91">
        <f t="shared" si="20"/>
        <v>0.23</v>
      </c>
      <c r="R29" s="99">
        <f t="shared" si="27"/>
        <v>1.9230769230769162E-2</v>
      </c>
      <c r="S29" s="99">
        <f t="shared" si="28"/>
        <v>4.5454545454545414E-2</v>
      </c>
      <c r="T29" s="99"/>
      <c r="U29" s="39">
        <f t="shared" si="31"/>
        <v>365</v>
      </c>
      <c r="V29" s="102">
        <f t="shared" si="21"/>
        <v>499502500000</v>
      </c>
      <c r="W29" s="102"/>
      <c r="X29" s="101">
        <f t="shared" si="22"/>
        <v>1994</v>
      </c>
      <c r="Y29" s="88">
        <f t="shared" si="23"/>
        <v>1.4371212616553471E-3</v>
      </c>
      <c r="Z29" s="89">
        <f t="shared" si="24"/>
        <v>65980.486253275565</v>
      </c>
      <c r="AA29" s="71">
        <f t="shared" si="25"/>
        <v>7570458</v>
      </c>
      <c r="AB29" s="87">
        <f t="shared" si="26"/>
        <v>717845663</v>
      </c>
      <c r="AC29" s="99"/>
      <c r="AD29" s="115">
        <f t="shared" si="3"/>
        <v>1996</v>
      </c>
      <c r="AE29" s="111">
        <f t="shared" si="4"/>
        <v>-2.8267100846478512</v>
      </c>
      <c r="AF29" s="114">
        <f t="shared" si="5"/>
        <v>64.923084380535144</v>
      </c>
      <c r="AG29" s="113">
        <f t="shared" si="6"/>
        <v>8.8638955167207421</v>
      </c>
      <c r="AH29" s="100">
        <f t="shared" si="7"/>
        <v>8.8828867952061454</v>
      </c>
      <c r="AI29" s="49">
        <f t="shared" si="8"/>
        <v>763636705.28583336</v>
      </c>
      <c r="AO29" s="112">
        <v>1997</v>
      </c>
      <c r="AP29" s="111">
        <f t="shared" si="9"/>
        <v>1.6144495681229623E-2</v>
      </c>
      <c r="AQ29" s="111">
        <f t="shared" si="29"/>
        <v>-1.8862223185493421</v>
      </c>
      <c r="AR29" s="111">
        <f t="shared" si="30"/>
        <v>-1.8862223185493421</v>
      </c>
      <c r="AS29" s="55">
        <f t="shared" si="10"/>
        <v>44355052</v>
      </c>
      <c r="AT29" s="49"/>
      <c r="AW29" s="112">
        <f t="shared" si="11"/>
        <v>1999</v>
      </c>
      <c r="AX29" s="111">
        <f t="shared" si="12"/>
        <v>0.23335580779585904</v>
      </c>
      <c r="AY29" s="111">
        <f t="shared" si="13"/>
        <v>-4.9495574006466123</v>
      </c>
      <c r="AZ29" s="117">
        <f t="shared" si="14"/>
        <v>-45148202</v>
      </c>
      <c r="BA29" s="116">
        <f t="shared" si="15"/>
        <v>14886307.484532207</v>
      </c>
    </row>
    <row r="30" spans="2:53" x14ac:dyDescent="0.2">
      <c r="B30" s="103">
        <v>1995</v>
      </c>
      <c r="C30" s="103">
        <v>1325.7</v>
      </c>
      <c r="D30" s="103">
        <v>181</v>
      </c>
      <c r="E30" s="49">
        <f t="shared" si="0"/>
        <v>7324309.3922651932</v>
      </c>
      <c r="F30" s="39">
        <v>1995</v>
      </c>
      <c r="G30" s="71">
        <v>7633040</v>
      </c>
      <c r="H30" s="89">
        <f t="shared" si="16"/>
        <v>173.67916321675244</v>
      </c>
      <c r="J30" s="39">
        <v>1804.9</v>
      </c>
      <c r="K30" s="89">
        <f t="shared" si="1"/>
        <v>236.45886828838837</v>
      </c>
      <c r="L30" s="89">
        <f t="shared" si="2"/>
        <v>410.13803150514082</v>
      </c>
      <c r="M30" s="101">
        <f t="shared" si="17"/>
        <v>1995</v>
      </c>
      <c r="N30" s="118">
        <v>738561386</v>
      </c>
      <c r="O30" s="91">
        <f t="shared" si="18"/>
        <v>96.76</v>
      </c>
      <c r="P30" s="91">
        <f t="shared" si="19"/>
        <v>0.56000000000000005</v>
      </c>
      <c r="Q30" s="91">
        <f t="shared" si="20"/>
        <v>0.24</v>
      </c>
      <c r="R30" s="99">
        <f t="shared" si="27"/>
        <v>5.6603773584905648E-2</v>
      </c>
      <c r="S30" s="99">
        <f t="shared" si="28"/>
        <v>4.3478260869565188E-2</v>
      </c>
      <c r="T30" s="99"/>
      <c r="U30" s="39">
        <f t="shared" si="31"/>
        <v>365</v>
      </c>
      <c r="V30" s="102">
        <f t="shared" si="21"/>
        <v>495560500000</v>
      </c>
      <c r="W30" s="102"/>
      <c r="X30" s="101">
        <f t="shared" si="22"/>
        <v>1995</v>
      </c>
      <c r="Y30" s="88">
        <f t="shared" si="23"/>
        <v>1.4903556397251193E-3</v>
      </c>
      <c r="Z30" s="89">
        <f t="shared" si="24"/>
        <v>64923.084380535147</v>
      </c>
      <c r="AA30" s="71">
        <f t="shared" si="25"/>
        <v>7633040</v>
      </c>
      <c r="AB30" s="87">
        <f t="shared" si="26"/>
        <v>738561386</v>
      </c>
      <c r="AC30" s="99"/>
      <c r="AD30" s="115">
        <f t="shared" si="3"/>
        <v>1997</v>
      </c>
      <c r="AE30" s="111">
        <f t="shared" si="4"/>
        <v>-2.8220308249556241</v>
      </c>
      <c r="AF30" s="114">
        <f t="shared" si="5"/>
        <v>63.036862061985808</v>
      </c>
      <c r="AG30" s="113">
        <f t="shared" si="6"/>
        <v>8.8894800113076808</v>
      </c>
      <c r="AH30" s="100">
        <f t="shared" si="7"/>
        <v>8.8774872871291031</v>
      </c>
      <c r="AI30" s="49">
        <f t="shared" si="8"/>
        <v>754201318.19123042</v>
      </c>
      <c r="AO30" s="112">
        <v>1998</v>
      </c>
      <c r="AP30" s="111">
        <f t="shared" si="9"/>
        <v>0.13011255506202624</v>
      </c>
      <c r="AQ30" s="111">
        <f t="shared" si="29"/>
        <v>-2.0943041761172134</v>
      </c>
      <c r="AR30" s="111">
        <f t="shared" si="30"/>
        <v>-2.0943041761172134</v>
      </c>
      <c r="AS30" s="55">
        <f t="shared" si="10"/>
        <v>47481906</v>
      </c>
      <c r="AT30" s="49"/>
      <c r="AW30" s="112">
        <f t="shared" si="11"/>
        <v>2000</v>
      </c>
      <c r="AX30" s="111">
        <f t="shared" si="12"/>
        <v>-0.12767072326462622</v>
      </c>
      <c r="AY30" s="111">
        <f t="shared" si="13"/>
        <v>0.16654836311828694</v>
      </c>
      <c r="AZ30" s="117">
        <f t="shared" si="14"/>
        <v>23603156</v>
      </c>
      <c r="BA30" s="116">
        <f t="shared" si="15"/>
        <v>19416831.383828301</v>
      </c>
    </row>
    <row r="31" spans="2:53" x14ac:dyDescent="0.2">
      <c r="B31" s="103">
        <v>1996</v>
      </c>
      <c r="C31" s="103">
        <v>1297.9000000000001</v>
      </c>
      <c r="D31" s="103">
        <v>177.2</v>
      </c>
      <c r="E31" s="49">
        <f t="shared" si="0"/>
        <v>7324492.0993227996</v>
      </c>
      <c r="F31" s="39">
        <v>1996</v>
      </c>
      <c r="G31" s="71">
        <v>7697182</v>
      </c>
      <c r="H31" s="89">
        <f t="shared" si="16"/>
        <v>168.62015215438586</v>
      </c>
      <c r="J31" s="39">
        <v>1804.9</v>
      </c>
      <c r="K31" s="89">
        <f t="shared" si="1"/>
        <v>234.48841407153944</v>
      </c>
      <c r="L31" s="89">
        <f t="shared" si="2"/>
        <v>403.1085662259253</v>
      </c>
      <c r="M31" s="101">
        <f t="shared" si="17"/>
        <v>1996</v>
      </c>
      <c r="N31" s="118">
        <v>730963206</v>
      </c>
      <c r="O31" s="91">
        <f t="shared" si="18"/>
        <v>94.97</v>
      </c>
      <c r="P31" s="91">
        <f t="shared" si="19"/>
        <v>0.56000000000000005</v>
      </c>
      <c r="Q31" s="91">
        <f t="shared" si="20"/>
        <v>0.24</v>
      </c>
      <c r="R31" s="99">
        <f t="shared" si="27"/>
        <v>0</v>
      </c>
      <c r="S31" s="99">
        <f t="shared" si="28"/>
        <v>0</v>
      </c>
      <c r="T31" s="99"/>
      <c r="U31" s="39">
        <f t="shared" si="31"/>
        <v>366</v>
      </c>
      <c r="V31" s="102">
        <f t="shared" si="21"/>
        <v>485206200000</v>
      </c>
      <c r="W31" s="102"/>
      <c r="X31" s="101">
        <f t="shared" si="22"/>
        <v>1996</v>
      </c>
      <c r="Y31" s="88">
        <f t="shared" si="23"/>
        <v>1.5065001354063489E-3</v>
      </c>
      <c r="Z31" s="89">
        <f t="shared" si="24"/>
        <v>63036.862061985805</v>
      </c>
      <c r="AA31" s="71">
        <f t="shared" si="25"/>
        <v>7697182</v>
      </c>
      <c r="AB31" s="87">
        <f t="shared" si="26"/>
        <v>730963206</v>
      </c>
      <c r="AC31" s="99"/>
      <c r="AD31" s="115">
        <f t="shared" si="3"/>
        <v>1998</v>
      </c>
      <c r="AE31" s="111">
        <f t="shared" si="4"/>
        <v>-2.7860540855813931</v>
      </c>
      <c r="AF31" s="114">
        <f t="shared" si="5"/>
        <v>60.942557885868588</v>
      </c>
      <c r="AG31" s="113">
        <f t="shared" si="6"/>
        <v>8.9152943695859914</v>
      </c>
      <c r="AH31" s="100">
        <f t="shared" si="7"/>
        <v>8.9018640791544996</v>
      </c>
      <c r="AI31" s="49">
        <f t="shared" si="8"/>
        <v>797744978.49681294</v>
      </c>
      <c r="AO31" s="112">
        <v>1999</v>
      </c>
      <c r="AP31" s="111">
        <f t="shared" si="9"/>
        <v>0.23335580779585904</v>
      </c>
      <c r="AQ31" s="111">
        <f t="shared" si="29"/>
        <v>-4.9495574006466123</v>
      </c>
      <c r="AR31" s="111">
        <f t="shared" si="30"/>
        <v>-4.9495574006466123</v>
      </c>
      <c r="AS31" s="55">
        <f t="shared" si="10"/>
        <v>-45148202</v>
      </c>
      <c r="AT31" s="49"/>
      <c r="AW31" s="112">
        <f t="shared" si="11"/>
        <v>2001</v>
      </c>
      <c r="AX31" s="111">
        <f t="shared" si="12"/>
        <v>3.2047117798535356E-2</v>
      </c>
      <c r="AY31" s="111">
        <f t="shared" si="13"/>
        <v>0.15714497620099427</v>
      </c>
      <c r="AZ31" s="117">
        <f t="shared" si="14"/>
        <v>41269825</v>
      </c>
      <c r="BA31" s="116">
        <f t="shared" si="15"/>
        <v>37445340.074686386</v>
      </c>
    </row>
    <row r="32" spans="2:53" x14ac:dyDescent="0.2">
      <c r="B32" s="103">
        <v>1997</v>
      </c>
      <c r="C32" s="103">
        <v>1205.5</v>
      </c>
      <c r="D32" s="103">
        <v>164.6</v>
      </c>
      <c r="E32" s="49">
        <f t="shared" si="0"/>
        <v>7323815.3098420417</v>
      </c>
      <c r="F32" s="39">
        <v>1997</v>
      </c>
      <c r="G32" s="71">
        <v>7773443</v>
      </c>
      <c r="H32" s="89">
        <f t="shared" si="16"/>
        <v>155.07928726048419</v>
      </c>
      <c r="J32" s="39">
        <v>1804.9</v>
      </c>
      <c r="K32" s="89">
        <f t="shared" si="1"/>
        <v>232.18797642177347</v>
      </c>
      <c r="L32" s="89">
        <f t="shared" si="2"/>
        <v>387.26726368225764</v>
      </c>
      <c r="M32" s="101">
        <f t="shared" si="17"/>
        <v>1997</v>
      </c>
      <c r="N32" s="118">
        <v>775318258</v>
      </c>
      <c r="O32" s="91">
        <f t="shared" si="18"/>
        <v>99.74</v>
      </c>
      <c r="P32" s="91">
        <f t="shared" si="19"/>
        <v>0.64</v>
      </c>
      <c r="Q32" s="91">
        <f t="shared" si="20"/>
        <v>0.26</v>
      </c>
      <c r="R32" s="99">
        <f t="shared" si="27"/>
        <v>0.14285714285714279</v>
      </c>
      <c r="S32" s="99">
        <f t="shared" si="28"/>
        <v>8.3333333333333481E-2</v>
      </c>
      <c r="T32" s="99"/>
      <c r="U32" s="39">
        <f t="shared" si="31"/>
        <v>365</v>
      </c>
      <c r="V32" s="102">
        <f t="shared" si="21"/>
        <v>473733500000</v>
      </c>
      <c r="W32" s="102"/>
      <c r="X32" s="101">
        <f t="shared" si="22"/>
        <v>1997</v>
      </c>
      <c r="Y32" s="88">
        <f t="shared" si="23"/>
        <v>1.6366126904683751E-3</v>
      </c>
      <c r="Z32" s="89">
        <f t="shared" si="24"/>
        <v>60942.557885868591</v>
      </c>
      <c r="AA32" s="71">
        <f t="shared" si="25"/>
        <v>7773443</v>
      </c>
      <c r="AB32" s="87">
        <f t="shared" si="26"/>
        <v>775318258</v>
      </c>
      <c r="AC32" s="99"/>
      <c r="AD32" s="115">
        <f t="shared" si="3"/>
        <v>1999</v>
      </c>
      <c r="AE32" s="111">
        <f t="shared" si="4"/>
        <v>-2.7281657095839549</v>
      </c>
      <c r="AF32" s="114">
        <f t="shared" si="5"/>
        <v>55.993000485221977</v>
      </c>
      <c r="AG32" s="113">
        <f t="shared" si="6"/>
        <v>8.8907852720518417</v>
      </c>
      <c r="AH32" s="100">
        <f t="shared" si="7"/>
        <v>8.9326986720035961</v>
      </c>
      <c r="AI32" s="49">
        <f t="shared" si="8"/>
        <v>856443410.03222251</v>
      </c>
      <c r="AO32" s="112">
        <v>2000</v>
      </c>
      <c r="AP32" s="111">
        <f t="shared" si="9"/>
        <v>-0.12767072326462622</v>
      </c>
      <c r="AQ32" s="111">
        <f t="shared" si="29"/>
        <v>0.16654836311828694</v>
      </c>
      <c r="AR32" s="111">
        <f t="shared" si="30"/>
        <v>0.16654836311828694</v>
      </c>
      <c r="AS32" s="55">
        <f t="shared" si="10"/>
        <v>23603156</v>
      </c>
      <c r="AT32" s="49"/>
      <c r="AW32" s="112">
        <f t="shared" si="11"/>
        <v>2002</v>
      </c>
      <c r="AX32" s="111">
        <f t="shared" si="12"/>
        <v>8.6576999388645728E-2</v>
      </c>
      <c r="AY32" s="111">
        <f t="shared" si="13"/>
        <v>-0.16658748255550745</v>
      </c>
      <c r="AZ32" s="117">
        <f t="shared" si="14"/>
        <v>15381660</v>
      </c>
      <c r="BA32" s="116">
        <f t="shared" si="15"/>
        <v>40751774.938097581</v>
      </c>
    </row>
    <row r="33" spans="2:53" x14ac:dyDescent="0.2">
      <c r="B33" s="103">
        <v>1998</v>
      </c>
      <c r="C33" s="103">
        <v>1219.5</v>
      </c>
      <c r="D33" s="103">
        <v>166.5</v>
      </c>
      <c r="E33" s="49">
        <f t="shared" si="0"/>
        <v>7324324.3243243247</v>
      </c>
      <c r="F33" s="39">
        <v>1998</v>
      </c>
      <c r="G33" s="71">
        <v>7858259</v>
      </c>
      <c r="H33" s="89">
        <f t="shared" si="16"/>
        <v>155.18704588382744</v>
      </c>
      <c r="J33" s="39">
        <v>1804.9</v>
      </c>
      <c r="K33" s="89">
        <f t="shared" si="1"/>
        <v>229.68191809407148</v>
      </c>
      <c r="L33" s="89">
        <f t="shared" si="2"/>
        <v>384.86896397789894</v>
      </c>
      <c r="M33" s="101">
        <f t="shared" si="17"/>
        <v>1998</v>
      </c>
      <c r="N33" s="118">
        <v>822800164</v>
      </c>
      <c r="O33" s="91">
        <f t="shared" si="18"/>
        <v>104.71</v>
      </c>
      <c r="P33" s="91">
        <f t="shared" si="19"/>
        <v>0.67</v>
      </c>
      <c r="Q33" s="91">
        <f t="shared" si="20"/>
        <v>0.27</v>
      </c>
      <c r="R33" s="99">
        <f t="shared" si="27"/>
        <v>4.6875E-2</v>
      </c>
      <c r="S33" s="99">
        <f t="shared" si="28"/>
        <v>3.8461538461538547E-2</v>
      </c>
      <c r="T33" s="99"/>
      <c r="U33" s="39">
        <f t="shared" si="31"/>
        <v>365</v>
      </c>
      <c r="V33" s="102">
        <f t="shared" si="21"/>
        <v>440007500000</v>
      </c>
      <c r="W33" s="102"/>
      <c r="X33" s="101">
        <f t="shared" si="22"/>
        <v>1998</v>
      </c>
      <c r="Y33" s="88">
        <f t="shared" si="23"/>
        <v>1.8699684982642342E-3</v>
      </c>
      <c r="Z33" s="89">
        <f t="shared" si="24"/>
        <v>55993.000485221979</v>
      </c>
      <c r="AA33" s="71">
        <f t="shared" si="25"/>
        <v>7858259</v>
      </c>
      <c r="AB33" s="87">
        <f t="shared" si="26"/>
        <v>822800164</v>
      </c>
      <c r="AC33" s="99"/>
      <c r="AD33" s="115">
        <f t="shared" si="3"/>
        <v>2000</v>
      </c>
      <c r="AE33" s="111">
        <f t="shared" si="4"/>
        <v>-2.7588776179923191</v>
      </c>
      <c r="AF33" s="114">
        <f t="shared" si="5"/>
        <v>56.159548848340265</v>
      </c>
      <c r="AG33" s="113">
        <f t="shared" si="6"/>
        <v>8.9037708165824867</v>
      </c>
      <c r="AH33" s="100">
        <f t="shared" si="7"/>
        <v>8.9032795980259767</v>
      </c>
      <c r="AI33" s="49">
        <f t="shared" si="8"/>
        <v>800349352.68970942</v>
      </c>
      <c r="AO33" s="112">
        <v>2001</v>
      </c>
      <c r="AP33" s="111">
        <f t="shared" si="9"/>
        <v>3.2047117798535356E-2</v>
      </c>
      <c r="AQ33" s="111">
        <f t="shared" si="29"/>
        <v>0.15714497620099427</v>
      </c>
      <c r="AR33" s="111">
        <f t="shared" si="30"/>
        <v>0.15714497620099427</v>
      </c>
      <c r="AS33" s="55">
        <f t="shared" si="10"/>
        <v>41269825</v>
      </c>
      <c r="AT33" s="49"/>
      <c r="AW33" s="112">
        <f t="shared" si="11"/>
        <v>2003</v>
      </c>
      <c r="AX33" s="111">
        <f t="shared" si="12"/>
        <v>0.11881384431815853</v>
      </c>
      <c r="AY33" s="111">
        <f t="shared" si="13"/>
        <v>-2.4652698702315394</v>
      </c>
      <c r="AZ33" s="117">
        <f t="shared" si="14"/>
        <v>-11554856.000000119</v>
      </c>
      <c r="BA33" s="116">
        <f t="shared" si="15"/>
        <v>23977134.211774655</v>
      </c>
    </row>
    <row r="34" spans="2:53" x14ac:dyDescent="0.2">
      <c r="B34" s="103">
        <v>1999</v>
      </c>
      <c r="C34" s="103">
        <v>1237.2</v>
      </c>
      <c r="D34" s="103">
        <v>168.9</v>
      </c>
      <c r="E34" s="49">
        <f t="shared" si="0"/>
        <v>7325044.404973357</v>
      </c>
      <c r="F34" s="39">
        <v>1999</v>
      </c>
      <c r="G34" s="71">
        <v>7947660</v>
      </c>
      <c r="H34" s="89">
        <f t="shared" si="16"/>
        <v>155.66846090547406</v>
      </c>
      <c r="J34" s="39">
        <v>1804.9</v>
      </c>
      <c r="K34" s="89">
        <f t="shared" si="1"/>
        <v>227.09829056602823</v>
      </c>
      <c r="L34" s="89">
        <f t="shared" si="2"/>
        <v>382.76675147150229</v>
      </c>
      <c r="M34" s="101">
        <f t="shared" si="17"/>
        <v>1999</v>
      </c>
      <c r="N34" s="118">
        <v>777651962</v>
      </c>
      <c r="O34" s="91">
        <f t="shared" si="18"/>
        <v>97.85</v>
      </c>
      <c r="P34" s="91">
        <f t="shared" si="19"/>
        <v>0.63</v>
      </c>
      <c r="Q34" s="91">
        <f t="shared" si="20"/>
        <v>0.26</v>
      </c>
      <c r="R34" s="99">
        <f t="shared" si="27"/>
        <v>-5.9701492537313494E-2</v>
      </c>
      <c r="S34" s="99">
        <f t="shared" si="28"/>
        <v>-3.703703703703709E-2</v>
      </c>
      <c r="T34" s="99"/>
      <c r="U34" s="39">
        <f t="shared" si="31"/>
        <v>366</v>
      </c>
      <c r="V34" s="102">
        <f t="shared" si="21"/>
        <v>446337000000</v>
      </c>
      <c r="W34" s="102"/>
      <c r="X34" s="101">
        <f t="shared" si="22"/>
        <v>1999</v>
      </c>
      <c r="Y34" s="88">
        <f t="shared" si="23"/>
        <v>1.742297774999608E-3</v>
      </c>
      <c r="Z34" s="89">
        <f t="shared" si="24"/>
        <v>56159.548848340266</v>
      </c>
      <c r="AA34" s="71">
        <f t="shared" si="25"/>
        <v>7947660</v>
      </c>
      <c r="AB34" s="87">
        <f t="shared" si="26"/>
        <v>777651962</v>
      </c>
      <c r="AC34" s="99"/>
      <c r="AD34" s="115">
        <f t="shared" si="3"/>
        <v>2001</v>
      </c>
      <c r="AE34" s="111">
        <f t="shared" si="4"/>
        <v>-2.7509619592051298</v>
      </c>
      <c r="AF34" s="114">
        <f t="shared" si="5"/>
        <v>56.316693824541261</v>
      </c>
      <c r="AG34" s="113">
        <f t="shared" si="6"/>
        <v>8.9255827670471284</v>
      </c>
      <c r="AH34" s="100">
        <f t="shared" si="7"/>
        <v>8.9119244944734675</v>
      </c>
      <c r="AI34" s="49">
        <f t="shared" si="8"/>
        <v>816440414.40299654</v>
      </c>
      <c r="AO34" s="112">
        <v>2002</v>
      </c>
      <c r="AP34" s="111">
        <f t="shared" si="9"/>
        <v>8.6576999388645728E-2</v>
      </c>
      <c r="AQ34" s="111">
        <f t="shared" si="29"/>
        <v>-0.16658748255550745</v>
      </c>
      <c r="AR34" s="111">
        <f t="shared" si="30"/>
        <v>-0.16658748255550745</v>
      </c>
      <c r="AS34" s="55">
        <f t="shared" si="10"/>
        <v>15381660</v>
      </c>
      <c r="AT34" s="49"/>
      <c r="AW34" s="112">
        <f t="shared" si="11"/>
        <v>2004</v>
      </c>
      <c r="AX34" s="111">
        <f t="shared" si="12"/>
        <v>6.2155694975363218E-2</v>
      </c>
      <c r="AY34" s="111">
        <f t="shared" si="13"/>
        <v>-2.3102393405681143</v>
      </c>
      <c r="AZ34" s="117">
        <f t="shared" si="14"/>
        <v>38393235.000000238</v>
      </c>
      <c r="BA34" s="116">
        <f t="shared" si="15"/>
        <v>18929957.383337256</v>
      </c>
    </row>
    <row r="35" spans="2:53" x14ac:dyDescent="0.2">
      <c r="B35" s="103">
        <v>2000</v>
      </c>
      <c r="C35" s="103">
        <v>1240.4000000000001</v>
      </c>
      <c r="D35" s="103">
        <v>169.4</v>
      </c>
      <c r="E35" s="49">
        <f t="shared" si="0"/>
        <v>7322314.0495867766</v>
      </c>
      <c r="F35" s="39">
        <v>2000</v>
      </c>
      <c r="G35" s="71">
        <v>8018546</v>
      </c>
      <c r="H35" s="89">
        <f t="shared" si="16"/>
        <v>154.69138669279943</v>
      </c>
      <c r="J35" s="39">
        <v>1804.9</v>
      </c>
      <c r="K35" s="89">
        <f t="shared" si="1"/>
        <v>225.09068352292297</v>
      </c>
      <c r="L35" s="89">
        <f t="shared" si="2"/>
        <v>379.7820702157224</v>
      </c>
      <c r="M35" s="101">
        <f t="shared" si="17"/>
        <v>2000</v>
      </c>
      <c r="N35" s="118">
        <v>801255118</v>
      </c>
      <c r="O35" s="91">
        <f t="shared" si="18"/>
        <v>99.93</v>
      </c>
      <c r="P35" s="91">
        <f t="shared" si="19"/>
        <v>0.65</v>
      </c>
      <c r="Q35" s="91">
        <f t="shared" si="20"/>
        <v>0.26</v>
      </c>
      <c r="R35" s="99">
        <f t="shared" si="27"/>
        <v>3.1746031746031855E-2</v>
      </c>
      <c r="S35" s="99">
        <f t="shared" si="28"/>
        <v>0</v>
      </c>
      <c r="T35" s="99"/>
      <c r="U35" s="39">
        <f t="shared" si="31"/>
        <v>365</v>
      </c>
      <c r="V35" s="102">
        <f t="shared" si="21"/>
        <v>451578000000</v>
      </c>
      <c r="W35" s="102"/>
      <c r="X35" s="101">
        <f t="shared" si="22"/>
        <v>2000</v>
      </c>
      <c r="Y35" s="88">
        <f t="shared" si="23"/>
        <v>1.7743448927981433E-3</v>
      </c>
      <c r="Z35" s="89">
        <f t="shared" si="24"/>
        <v>56316.69382454126</v>
      </c>
      <c r="AA35" s="71">
        <f t="shared" si="25"/>
        <v>8018546</v>
      </c>
      <c r="AB35" s="87">
        <f t="shared" si="26"/>
        <v>801255118</v>
      </c>
      <c r="AC35" s="99"/>
      <c r="AD35" s="115">
        <f t="shared" si="3"/>
        <v>2002</v>
      </c>
      <c r="AE35" s="111">
        <f t="shared" si="4"/>
        <v>-2.7302718549746356</v>
      </c>
      <c r="AF35" s="114">
        <f t="shared" si="5"/>
        <v>56.150106341985754</v>
      </c>
      <c r="AG35" s="113">
        <f t="shared" si="6"/>
        <v>8.9334400104482974</v>
      </c>
      <c r="AH35" s="100">
        <f t="shared" si="7"/>
        <v>8.9314548243823779</v>
      </c>
      <c r="AI35" s="49">
        <f t="shared" si="8"/>
        <v>853994009.74029434</v>
      </c>
      <c r="AO35" s="112">
        <v>2003</v>
      </c>
      <c r="AP35" s="111">
        <f t="shared" si="9"/>
        <v>0.11881384431815853</v>
      </c>
      <c r="AQ35" s="111">
        <f t="shared" si="29"/>
        <v>-2.4652698702315394</v>
      </c>
      <c r="AR35" s="111">
        <f t="shared" si="30"/>
        <v>-2.4652698702315394</v>
      </c>
      <c r="AS35" s="55">
        <f t="shared" si="10"/>
        <v>-11554856.000000119</v>
      </c>
      <c r="AT35" s="49"/>
      <c r="AW35" s="112">
        <f t="shared" si="11"/>
        <v>2005</v>
      </c>
      <c r="AX35" s="111">
        <f t="shared" si="12"/>
        <v>0.17440083769269896</v>
      </c>
      <c r="AY35" s="111">
        <f t="shared" si="13"/>
        <v>-1.74357201060847</v>
      </c>
      <c r="AZ35" s="117">
        <f t="shared" si="14"/>
        <v>14579060.999999881</v>
      </c>
      <c r="BA35" s="116">
        <f t="shared" si="15"/>
        <v>36695060.796164259</v>
      </c>
    </row>
    <row r="36" spans="2:53" x14ac:dyDescent="0.2">
      <c r="B36" s="103">
        <v>2001</v>
      </c>
      <c r="C36" s="103">
        <v>1184</v>
      </c>
      <c r="D36" s="103">
        <v>154.6</v>
      </c>
      <c r="E36" s="49">
        <f t="shared" si="0"/>
        <v>7658473.4799482543</v>
      </c>
      <c r="F36" s="39">
        <v>2001</v>
      </c>
      <c r="G36" s="71">
        <v>8063137</v>
      </c>
      <c r="H36" s="89">
        <f t="shared" si="16"/>
        <v>146.84111159217559</v>
      </c>
      <c r="J36" s="39">
        <v>1804.9</v>
      </c>
      <c r="K36" s="89">
        <f t="shared" si="1"/>
        <v>223.84588033168728</v>
      </c>
      <c r="L36" s="89">
        <f t="shared" si="2"/>
        <v>370.68699192386288</v>
      </c>
      <c r="M36" s="101">
        <f t="shared" si="17"/>
        <v>2001</v>
      </c>
      <c r="N36" s="118">
        <v>842524943</v>
      </c>
      <c r="O36" s="91">
        <f t="shared" si="18"/>
        <v>104.49</v>
      </c>
      <c r="P36" s="91">
        <f t="shared" si="19"/>
        <v>0.71</v>
      </c>
      <c r="Q36" s="91">
        <f t="shared" si="20"/>
        <v>0.28000000000000003</v>
      </c>
      <c r="R36" s="99">
        <f t="shared" si="27"/>
        <v>9.2307692307692202E-2</v>
      </c>
      <c r="S36" s="99">
        <f t="shared" si="28"/>
        <v>7.6923076923077094E-2</v>
      </c>
      <c r="T36" s="99"/>
      <c r="U36" s="39">
        <f t="shared" si="31"/>
        <v>365</v>
      </c>
      <c r="V36" s="102">
        <f t="shared" si="21"/>
        <v>452746000000</v>
      </c>
      <c r="W36" s="102"/>
      <c r="X36" s="101">
        <f t="shared" si="22"/>
        <v>2001</v>
      </c>
      <c r="Y36" s="88">
        <f t="shared" si="23"/>
        <v>1.860921892186789E-3</v>
      </c>
      <c r="Z36" s="89">
        <f t="shared" si="24"/>
        <v>56150.106341985753</v>
      </c>
      <c r="AA36" s="71">
        <f t="shared" si="25"/>
        <v>8063137</v>
      </c>
      <c r="AB36" s="87">
        <f t="shared" si="26"/>
        <v>842524943</v>
      </c>
      <c r="AC36" s="99"/>
      <c r="AD36" s="115">
        <f t="shared" si="3"/>
        <v>2003</v>
      </c>
      <c r="AE36" s="111">
        <f t="shared" si="4"/>
        <v>-2.703392777333014</v>
      </c>
      <c r="AF36" s="114">
        <f t="shared" si="5"/>
        <v>53.684836471754217</v>
      </c>
      <c r="AG36" s="113">
        <f t="shared" si="6"/>
        <v>8.927550894992379</v>
      </c>
      <c r="AH36" s="100">
        <f t="shared" si="7"/>
        <v>8.9448849672878001</v>
      </c>
      <c r="AI36" s="49">
        <f t="shared" si="8"/>
        <v>880815538.19833052</v>
      </c>
      <c r="AO36" s="112">
        <v>2004</v>
      </c>
      <c r="AP36" s="111">
        <f t="shared" si="9"/>
        <v>6.2155694975363218E-2</v>
      </c>
      <c r="AQ36" s="111">
        <f t="shared" si="29"/>
        <v>-2.3102393405681143</v>
      </c>
      <c r="AR36" s="111">
        <f t="shared" si="30"/>
        <v>-2.3102393405681143</v>
      </c>
      <c r="AS36" s="55">
        <f t="shared" si="10"/>
        <v>38393235.000000238</v>
      </c>
      <c r="AT36" s="49"/>
      <c r="AW36" s="112">
        <f t="shared" si="11"/>
        <v>2006</v>
      </c>
      <c r="AX36" s="111">
        <f t="shared" si="12"/>
        <v>1.851402131670607E-2</v>
      </c>
      <c r="AY36" s="111">
        <f t="shared" si="13"/>
        <v>0.58718524989331489</v>
      </c>
      <c r="AZ36" s="117">
        <f t="shared" si="14"/>
        <v>90221222</v>
      </c>
      <c r="BA36" s="116">
        <f t="shared" si="15"/>
        <v>39732808.083800465</v>
      </c>
    </row>
    <row r="37" spans="2:53" x14ac:dyDescent="0.2">
      <c r="B37" s="103">
        <v>2002</v>
      </c>
      <c r="C37" s="103">
        <v>1135.5999999999999</v>
      </c>
      <c r="D37" s="103">
        <v>141.80000000000001</v>
      </c>
      <c r="E37" s="49">
        <f t="shared" si="0"/>
        <v>8008462.6234132573</v>
      </c>
      <c r="F37" s="39">
        <v>2002</v>
      </c>
      <c r="G37" s="71">
        <v>8072000</v>
      </c>
      <c r="H37" s="89">
        <f t="shared" si="16"/>
        <v>140.68384539147672</v>
      </c>
      <c r="J37" s="39">
        <v>1804.9</v>
      </c>
      <c r="K37" s="89">
        <f t="shared" si="1"/>
        <v>223.60009910802776</v>
      </c>
      <c r="L37" s="89">
        <f t="shared" si="2"/>
        <v>364.28394449950451</v>
      </c>
      <c r="M37" s="101">
        <f t="shared" si="17"/>
        <v>2002</v>
      </c>
      <c r="N37" s="118">
        <v>857906603</v>
      </c>
      <c r="O37" s="91">
        <f t="shared" si="18"/>
        <v>106.28</v>
      </c>
      <c r="P37" s="91">
        <f t="shared" si="19"/>
        <v>0.76</v>
      </c>
      <c r="Q37" s="91">
        <f t="shared" si="20"/>
        <v>0.28999999999999998</v>
      </c>
      <c r="R37" s="99">
        <f t="shared" si="27"/>
        <v>7.0422535211267734E-2</v>
      </c>
      <c r="S37" s="99">
        <f t="shared" si="28"/>
        <v>3.5714285714285587E-2</v>
      </c>
      <c r="T37" s="99"/>
      <c r="U37" s="39">
        <f t="shared" si="31"/>
        <v>366</v>
      </c>
      <c r="V37" s="102">
        <f t="shared" si="21"/>
        <v>433344000000</v>
      </c>
      <c r="W37" s="102"/>
      <c r="X37" s="101">
        <f t="shared" si="22"/>
        <v>2002</v>
      </c>
      <c r="Y37" s="88">
        <f t="shared" si="23"/>
        <v>1.9797357365049476E-3</v>
      </c>
      <c r="Z37" s="89">
        <f t="shared" si="24"/>
        <v>53684.836471754214</v>
      </c>
      <c r="AA37" s="71">
        <f t="shared" si="25"/>
        <v>8072000</v>
      </c>
      <c r="AB37" s="87">
        <f t="shared" si="26"/>
        <v>857906603</v>
      </c>
      <c r="AC37" s="99"/>
      <c r="AD37" s="115">
        <f t="shared" si="3"/>
        <v>2004</v>
      </c>
      <c r="AE37" s="111">
        <f t="shared" si="4"/>
        <v>-2.6899673533179147</v>
      </c>
      <c r="AF37" s="114">
        <f t="shared" si="5"/>
        <v>51.3745971311861</v>
      </c>
      <c r="AG37" s="113">
        <f t="shared" si="6"/>
        <v>8.9468181081325078</v>
      </c>
      <c r="AH37" s="100">
        <f t="shared" si="7"/>
        <v>8.9458636303574952</v>
      </c>
      <c r="AI37" s="49">
        <f t="shared" si="8"/>
        <v>882802654.47051406</v>
      </c>
      <c r="AO37" s="112">
        <v>2005</v>
      </c>
      <c r="AP37" s="111">
        <f t="shared" si="9"/>
        <v>0.17440083769269896</v>
      </c>
      <c r="AQ37" s="111">
        <f t="shared" si="29"/>
        <v>-1.74357201060847</v>
      </c>
      <c r="AR37" s="111">
        <f t="shared" si="30"/>
        <v>-1.74357201060847</v>
      </c>
      <c r="AS37" s="55">
        <f t="shared" si="10"/>
        <v>14579060.999999881</v>
      </c>
      <c r="AT37" s="49"/>
      <c r="AW37" s="112">
        <f t="shared" si="11"/>
        <v>2007</v>
      </c>
      <c r="AX37" s="111">
        <f t="shared" si="12"/>
        <v>0.21334516138694959</v>
      </c>
      <c r="AY37" s="111">
        <f t="shared" si="13"/>
        <v>0.3454314837114798</v>
      </c>
      <c r="AZ37" s="117">
        <f t="shared" si="14"/>
        <v>74328165</v>
      </c>
      <c r="BA37" s="116">
        <f t="shared" si="15"/>
        <v>59678090.356959611</v>
      </c>
    </row>
    <row r="38" spans="2:53" x14ac:dyDescent="0.2">
      <c r="B38" s="103">
        <v>2003</v>
      </c>
      <c r="C38" s="103">
        <v>1093.7</v>
      </c>
      <c r="D38" s="103">
        <v>136.6</v>
      </c>
      <c r="E38" s="49">
        <f t="shared" si="0"/>
        <v>8006588.5797950225</v>
      </c>
      <c r="F38" s="39">
        <v>2003</v>
      </c>
      <c r="G38" s="71">
        <v>8068073</v>
      </c>
      <c r="H38" s="89">
        <f t="shared" si="16"/>
        <v>135.55901142689214</v>
      </c>
      <c r="J38" s="39">
        <v>1804.9</v>
      </c>
      <c r="K38" s="89">
        <f t="shared" si="1"/>
        <v>223.70893272780253</v>
      </c>
      <c r="L38" s="89">
        <f t="shared" si="2"/>
        <v>359.26794415469465</v>
      </c>
      <c r="M38" s="101">
        <f t="shared" si="17"/>
        <v>2003</v>
      </c>
      <c r="N38" s="118">
        <v>846351747</v>
      </c>
      <c r="O38" s="91">
        <f t="shared" si="18"/>
        <v>104.9</v>
      </c>
      <c r="P38" s="91">
        <f t="shared" si="19"/>
        <v>0.77</v>
      </c>
      <c r="Q38" s="91">
        <f t="shared" si="20"/>
        <v>0.28999999999999998</v>
      </c>
      <c r="R38" s="99">
        <f t="shared" si="27"/>
        <v>1.3157894736842035E-2</v>
      </c>
      <c r="S38" s="99">
        <f t="shared" si="28"/>
        <v>0</v>
      </c>
      <c r="T38" s="99"/>
      <c r="U38" s="39">
        <f t="shared" si="31"/>
        <v>365</v>
      </c>
      <c r="V38" s="102">
        <f t="shared" si="21"/>
        <v>414494000000</v>
      </c>
      <c r="W38" s="102"/>
      <c r="X38" s="101">
        <f t="shared" si="22"/>
        <v>2003</v>
      </c>
      <c r="Y38" s="88">
        <f t="shared" si="23"/>
        <v>2.0418914314803108E-3</v>
      </c>
      <c r="Z38" s="89">
        <f t="shared" si="24"/>
        <v>51374.597131186099</v>
      </c>
      <c r="AA38" s="71">
        <f t="shared" si="25"/>
        <v>8068073</v>
      </c>
      <c r="AB38" s="87">
        <f t="shared" si="26"/>
        <v>846351746.99999988</v>
      </c>
      <c r="AC38" s="99"/>
      <c r="AD38" s="115">
        <f t="shared" si="3"/>
        <v>2005</v>
      </c>
      <c r="AE38" s="111">
        <f t="shared" si="4"/>
        <v>-2.6543729684384996</v>
      </c>
      <c r="AF38" s="114">
        <f t="shared" si="5"/>
        <v>49.631025120577632</v>
      </c>
      <c r="AG38" s="113">
        <f t="shared" si="6"/>
        <v>8.9539162042248126</v>
      </c>
      <c r="AH38" s="100">
        <f t="shared" si="7"/>
        <v>8.9717256709582234</v>
      </c>
      <c r="AI38" s="49">
        <f t="shared" si="8"/>
        <v>936969967.92381299</v>
      </c>
      <c r="AO38" s="112">
        <v>2006</v>
      </c>
      <c r="AP38" s="111">
        <f t="shared" si="9"/>
        <v>1.851402131670607E-2</v>
      </c>
      <c r="AQ38" s="111">
        <f t="shared" si="29"/>
        <v>0.58718524989331489</v>
      </c>
      <c r="AR38" s="111">
        <f t="shared" si="30"/>
        <v>0.58718524989331489</v>
      </c>
      <c r="AS38" s="55">
        <f t="shared" si="10"/>
        <v>90221222</v>
      </c>
      <c r="AT38" s="49"/>
      <c r="AW38" s="112">
        <f t="shared" si="11"/>
        <v>2008</v>
      </c>
      <c r="AX38" s="111">
        <f t="shared" si="12"/>
        <v>0.27920115037597532</v>
      </c>
      <c r="AY38" s="111">
        <f t="shared" si="13"/>
        <v>-1.8880176945323184</v>
      </c>
      <c r="AZ38" s="117">
        <f t="shared" si="14"/>
        <v>138316634</v>
      </c>
      <c r="BA38" s="116">
        <f t="shared" si="15"/>
        <v>47295659.837458342</v>
      </c>
    </row>
    <row r="39" spans="2:53" x14ac:dyDescent="0.2">
      <c r="B39" s="103">
        <v>2004</v>
      </c>
      <c r="C39" s="103">
        <v>1099.5</v>
      </c>
      <c r="D39" s="103">
        <v>137.30000000000001</v>
      </c>
      <c r="E39" s="49">
        <f t="shared" si="0"/>
        <v>8008011.6533139106</v>
      </c>
      <c r="F39" s="39">
        <v>2004</v>
      </c>
      <c r="G39" s="71">
        <v>8043366</v>
      </c>
      <c r="H39" s="89">
        <f t="shared" si="16"/>
        <v>136.69650243442857</v>
      </c>
      <c r="J39" s="39">
        <v>1804.9</v>
      </c>
      <c r="K39" s="89">
        <f t="shared" si="1"/>
        <v>224.39610481482504</v>
      </c>
      <c r="L39" s="89">
        <f t="shared" si="2"/>
        <v>361.0926072492536</v>
      </c>
      <c r="M39" s="101">
        <f t="shared" si="17"/>
        <v>2004</v>
      </c>
      <c r="N39" s="118">
        <v>884744982</v>
      </c>
      <c r="O39" s="91">
        <f t="shared" si="18"/>
        <v>110</v>
      </c>
      <c r="P39" s="91">
        <f t="shared" si="19"/>
        <v>0.8</v>
      </c>
      <c r="Q39" s="91">
        <f t="shared" si="20"/>
        <v>0.3</v>
      </c>
      <c r="R39" s="99">
        <f t="shared" si="27"/>
        <v>3.8961038961039085E-2</v>
      </c>
      <c r="S39" s="99">
        <f t="shared" si="28"/>
        <v>3.4482758620689724E-2</v>
      </c>
      <c r="T39" s="99"/>
      <c r="U39" s="39">
        <f t="shared" si="31"/>
        <v>365</v>
      </c>
      <c r="V39" s="102">
        <f t="shared" si="21"/>
        <v>399200500000</v>
      </c>
      <c r="W39" s="102"/>
      <c r="X39" s="101">
        <f t="shared" si="22"/>
        <v>2004</v>
      </c>
      <c r="Y39" s="88">
        <f t="shared" si="23"/>
        <v>2.2162922691730098E-3</v>
      </c>
      <c r="Z39" s="89">
        <f t="shared" si="24"/>
        <v>49631.025120577629</v>
      </c>
      <c r="AA39" s="71">
        <f t="shared" si="25"/>
        <v>8043366</v>
      </c>
      <c r="AB39" s="87">
        <f t="shared" si="26"/>
        <v>884744982.00000012</v>
      </c>
      <c r="AC39" s="99"/>
      <c r="AD39" s="115">
        <f t="shared" si="3"/>
        <v>2006</v>
      </c>
      <c r="AE39" s="111">
        <f t="shared" si="4"/>
        <v>-2.6507601148664075</v>
      </c>
      <c r="AF39" s="114">
        <f t="shared" si="5"/>
        <v>50.218210370470942</v>
      </c>
      <c r="AG39" s="113">
        <f t="shared" si="6"/>
        <v>8.9954356650306391</v>
      </c>
      <c r="AH39" s="100">
        <f t="shared" si="7"/>
        <v>8.9784086542228696</v>
      </c>
      <c r="AI39" s="49">
        <f t="shared" si="8"/>
        <v>951499696.77777529</v>
      </c>
      <c r="AO39" s="112">
        <v>2007</v>
      </c>
      <c r="AP39" s="111">
        <f t="shared" si="9"/>
        <v>0.21334516138694959</v>
      </c>
      <c r="AQ39" s="111">
        <f t="shared" si="29"/>
        <v>0.3454314837114798</v>
      </c>
      <c r="AR39" s="111">
        <f t="shared" si="30"/>
        <v>0.3454314837114798</v>
      </c>
      <c r="AS39" s="55">
        <f t="shared" si="10"/>
        <v>74328165</v>
      </c>
      <c r="AT39" s="49"/>
      <c r="AW39" s="112">
        <f t="shared" si="11"/>
        <v>2009</v>
      </c>
      <c r="AX39" s="111">
        <f t="shared" si="12"/>
        <v>0.22145097617534129</v>
      </c>
      <c r="AY39" s="111">
        <f t="shared" si="13"/>
        <v>1.8545625797631073</v>
      </c>
      <c r="AZ39" s="117">
        <f t="shared" si="14"/>
        <v>81315197</v>
      </c>
      <c r="BA39" s="116">
        <f t="shared" si="15"/>
        <v>74010205.710794255</v>
      </c>
    </row>
    <row r="40" spans="2:53" x14ac:dyDescent="0.2">
      <c r="B40" s="103">
        <v>2005</v>
      </c>
      <c r="C40" s="103">
        <v>1107.4000000000001</v>
      </c>
      <c r="D40" s="103">
        <v>138.30000000000001</v>
      </c>
      <c r="E40" s="49">
        <f t="shared" si="0"/>
        <v>8007230.6579898763</v>
      </c>
      <c r="F40" s="39">
        <v>2005</v>
      </c>
      <c r="G40" s="71">
        <v>8013368</v>
      </c>
      <c r="H40" s="89">
        <f t="shared" si="16"/>
        <v>138.1940776961697</v>
      </c>
      <c r="J40" s="39">
        <v>1804.9</v>
      </c>
      <c r="K40" s="89">
        <f t="shared" si="1"/>
        <v>225.23613042605805</v>
      </c>
      <c r="L40" s="89">
        <f t="shared" si="2"/>
        <v>363.43020812222778</v>
      </c>
      <c r="M40" s="101">
        <f t="shared" si="17"/>
        <v>2005</v>
      </c>
      <c r="N40" s="118">
        <v>899324043</v>
      </c>
      <c r="O40" s="91">
        <f t="shared" si="18"/>
        <v>112.23</v>
      </c>
      <c r="P40" s="91">
        <f t="shared" si="19"/>
        <v>0.81</v>
      </c>
      <c r="Q40" s="91">
        <f t="shared" si="20"/>
        <v>0.31</v>
      </c>
      <c r="R40" s="99">
        <f t="shared" si="27"/>
        <v>1.2499999999999956E-2</v>
      </c>
      <c r="S40" s="99">
        <f t="shared" si="28"/>
        <v>3.3333333333333437E-2</v>
      </c>
      <c r="T40" s="99"/>
      <c r="U40" s="39">
        <f t="shared" si="31"/>
        <v>366</v>
      </c>
      <c r="V40" s="102">
        <f t="shared" si="21"/>
        <v>402417000000</v>
      </c>
      <c r="W40" s="102"/>
      <c r="X40" s="101">
        <f t="shared" si="22"/>
        <v>2005</v>
      </c>
      <c r="Y40" s="88">
        <f t="shared" si="23"/>
        <v>2.2348062904897158E-3</v>
      </c>
      <c r="Z40" s="89">
        <f t="shared" si="24"/>
        <v>50218.210370470944</v>
      </c>
      <c r="AA40" s="71">
        <f t="shared" si="25"/>
        <v>8013368</v>
      </c>
      <c r="AB40" s="87">
        <f t="shared" si="26"/>
        <v>899324043</v>
      </c>
      <c r="AC40" s="99"/>
      <c r="AD40" s="115">
        <f t="shared" si="3"/>
        <v>2007</v>
      </c>
      <c r="AE40" s="111">
        <f t="shared" si="4"/>
        <v>-2.6111617186017493</v>
      </c>
      <c r="AF40" s="114">
        <f t="shared" si="5"/>
        <v>50.563641854182421</v>
      </c>
      <c r="AG40" s="113">
        <f t="shared" si="6"/>
        <v>9.0268899626185402</v>
      </c>
      <c r="AH40" s="100">
        <f t="shared" si="7"/>
        <v>9.0193148493305308</v>
      </c>
      <c r="AI40" s="49">
        <f t="shared" si="8"/>
        <v>1045477881.9029406</v>
      </c>
      <c r="AO40" s="112">
        <v>2008</v>
      </c>
      <c r="AP40" s="111">
        <f t="shared" si="9"/>
        <v>0.27920115037597532</v>
      </c>
      <c r="AQ40" s="111">
        <f t="shared" si="29"/>
        <v>-1.8880176945323184</v>
      </c>
      <c r="AR40" s="111">
        <f t="shared" si="30"/>
        <v>-1.8880176945323184</v>
      </c>
      <c r="AS40" s="55">
        <f t="shared" si="10"/>
        <v>138316634</v>
      </c>
      <c r="AT40" s="49"/>
      <c r="AW40" s="112">
        <f t="shared" si="11"/>
        <v>2010</v>
      </c>
      <c r="AX40" s="111">
        <f t="shared" si="12"/>
        <v>0.29845172664452141</v>
      </c>
      <c r="AY40" s="111">
        <f t="shared" si="13"/>
        <v>-1.9223157417441252</v>
      </c>
      <c r="AZ40" s="117"/>
      <c r="BA40" s="116">
        <f t="shared" si="15"/>
        <v>49173849.516360164</v>
      </c>
    </row>
    <row r="41" spans="2:53" x14ac:dyDescent="0.2">
      <c r="B41" s="103">
        <v>2006</v>
      </c>
      <c r="C41" s="103">
        <v>1068.7</v>
      </c>
      <c r="D41" s="103">
        <v>133.5</v>
      </c>
      <c r="E41" s="49">
        <f t="shared" si="0"/>
        <v>8005243.4456928838</v>
      </c>
      <c r="F41" s="39">
        <v>2006</v>
      </c>
      <c r="G41" s="71">
        <v>7993906</v>
      </c>
      <c r="H41" s="89">
        <f t="shared" si="16"/>
        <v>133.68933785310961</v>
      </c>
      <c r="J41" s="39">
        <v>1804.9</v>
      </c>
      <c r="K41" s="89">
        <f t="shared" si="1"/>
        <v>225.78449133627541</v>
      </c>
      <c r="L41" s="89">
        <f t="shared" si="2"/>
        <v>359.47382918938501</v>
      </c>
      <c r="M41" s="101">
        <f t="shared" si="17"/>
        <v>2006</v>
      </c>
      <c r="N41" s="90">
        <v>989545265</v>
      </c>
      <c r="O41" s="91">
        <f t="shared" si="18"/>
        <v>123.79</v>
      </c>
      <c r="P41" s="91">
        <f t="shared" si="19"/>
        <v>0.93</v>
      </c>
      <c r="Q41" s="91">
        <f t="shared" si="20"/>
        <v>0.34</v>
      </c>
      <c r="R41" s="99">
        <f t="shared" si="27"/>
        <v>0.14814814814814814</v>
      </c>
      <c r="S41" s="99">
        <f t="shared" si="28"/>
        <v>9.6774193548387233E-2</v>
      </c>
      <c r="T41" s="99"/>
      <c r="U41" s="39">
        <f t="shared" si="31"/>
        <v>365</v>
      </c>
      <c r="V41" s="102">
        <f t="shared" si="21"/>
        <v>404201000000</v>
      </c>
      <c r="W41" s="102"/>
      <c r="X41" s="101">
        <f t="shared" si="22"/>
        <v>2006</v>
      </c>
      <c r="Y41" s="88">
        <f t="shared" si="23"/>
        <v>2.4481514518766654E-3</v>
      </c>
      <c r="Z41" s="89">
        <f t="shared" si="24"/>
        <v>50563.641854182424</v>
      </c>
      <c r="AA41" s="71">
        <f t="shared" si="25"/>
        <v>7993906</v>
      </c>
      <c r="AB41" s="87">
        <f t="shared" si="26"/>
        <v>989545265</v>
      </c>
      <c r="AC41" s="99"/>
      <c r="AD41" s="115">
        <f t="shared" si="3"/>
        <v>2008</v>
      </c>
      <c r="AE41" s="111">
        <f t="shared" si="4"/>
        <v>-2.5642587112283786</v>
      </c>
      <c r="AF41" s="114">
        <f t="shared" si="5"/>
        <v>48.675624159650106</v>
      </c>
      <c r="AG41" s="113">
        <f t="shared" si="6"/>
        <v>9.0799731342399816</v>
      </c>
      <c r="AH41" s="100">
        <f t="shared" si="7"/>
        <v>9.0555680722864604</v>
      </c>
      <c r="AI41" s="49">
        <f t="shared" si="8"/>
        <v>1136496420.6929433</v>
      </c>
      <c r="AO41" s="112">
        <v>2009</v>
      </c>
      <c r="AP41" s="111">
        <f t="shared" si="9"/>
        <v>0.22145097617534129</v>
      </c>
      <c r="AQ41" s="111">
        <f t="shared" si="29"/>
        <v>1.8545625797631073</v>
      </c>
      <c r="AR41" s="111">
        <f t="shared" si="30"/>
        <v>1.8545625797631073</v>
      </c>
      <c r="AS41" s="55">
        <f t="shared" si="10"/>
        <v>81315197</v>
      </c>
      <c r="AT41" s="49"/>
      <c r="AW41" s="45"/>
      <c r="AX41" s="111"/>
      <c r="AY41" s="110"/>
      <c r="AZ41" s="109"/>
      <c r="BA41" s="43"/>
    </row>
    <row r="42" spans="2:53" ht="13.5" thickBot="1" x14ac:dyDescent="0.25">
      <c r="B42" s="103">
        <v>2007</v>
      </c>
      <c r="C42" s="103">
        <v>1113.9000000000001</v>
      </c>
      <c r="D42" s="103">
        <v>139.1</v>
      </c>
      <c r="E42" s="49">
        <f t="shared" si="0"/>
        <v>8007907.9798705969</v>
      </c>
      <c r="F42" s="39">
        <v>2007</v>
      </c>
      <c r="G42" s="71">
        <v>8013775</v>
      </c>
      <c r="H42" s="89">
        <f t="shared" si="16"/>
        <v>138.99816253887838</v>
      </c>
      <c r="J42" s="39">
        <v>1804.9</v>
      </c>
      <c r="K42" s="89">
        <f t="shared" si="1"/>
        <v>225.22469123478012</v>
      </c>
      <c r="L42" s="89">
        <f t="shared" si="2"/>
        <v>364.22285377365847</v>
      </c>
      <c r="M42" s="101">
        <f t="shared" si="17"/>
        <v>2007</v>
      </c>
      <c r="N42" s="90">
        <v>1063873430</v>
      </c>
      <c r="O42" s="91">
        <f t="shared" si="18"/>
        <v>132.76</v>
      </c>
      <c r="P42" s="91">
        <f t="shared" si="19"/>
        <v>0.96</v>
      </c>
      <c r="Q42" s="91">
        <f t="shared" si="20"/>
        <v>0.36</v>
      </c>
      <c r="R42" s="99">
        <f t="shared" si="27"/>
        <v>3.2258064516129004E-2</v>
      </c>
      <c r="S42" s="99">
        <f t="shared" si="28"/>
        <v>5.8823529411764497E-2</v>
      </c>
      <c r="T42" s="99"/>
      <c r="U42" s="39">
        <f t="shared" si="31"/>
        <v>365</v>
      </c>
      <c r="V42" s="102">
        <f t="shared" si="21"/>
        <v>390075500000</v>
      </c>
      <c r="W42" s="102"/>
      <c r="X42" s="101">
        <f t="shared" si="22"/>
        <v>2007</v>
      </c>
      <c r="Y42" s="88">
        <f t="shared" si="23"/>
        <v>2.7273526022526407E-3</v>
      </c>
      <c r="Z42" s="89">
        <f t="shared" si="24"/>
        <v>48675.624159650106</v>
      </c>
      <c r="AA42" s="71">
        <f t="shared" si="25"/>
        <v>8013775</v>
      </c>
      <c r="AB42" s="87">
        <f t="shared" si="26"/>
        <v>1063873430</v>
      </c>
      <c r="AC42" s="99"/>
      <c r="AD42" s="104">
        <f t="shared" si="3"/>
        <v>2009</v>
      </c>
      <c r="AE42" s="105">
        <f t="shared" si="4"/>
        <v>-2.5303541551002513</v>
      </c>
      <c r="AF42" s="108">
        <f t="shared" si="5"/>
        <v>50.53018673941321</v>
      </c>
      <c r="AG42" s="107">
        <f t="shared" si="6"/>
        <v>9.1083976531543929</v>
      </c>
      <c r="AH42" s="100">
        <f t="shared" si="7"/>
        <v>9.0988701916813408</v>
      </c>
      <c r="AI42" s="49">
        <f t="shared" si="8"/>
        <v>1255654599.0963657</v>
      </c>
      <c r="AO42" s="106">
        <v>2010</v>
      </c>
      <c r="AP42" s="105">
        <f t="shared" si="9"/>
        <v>0.29845172664452141</v>
      </c>
      <c r="AQ42" s="105">
        <f t="shared" si="29"/>
        <v>-1.9223157417441252</v>
      </c>
      <c r="AR42" s="105">
        <f t="shared" si="30"/>
        <v>-1.9223157417441252</v>
      </c>
      <c r="AS42" s="40"/>
      <c r="AT42" s="49"/>
      <c r="AW42" s="45"/>
      <c r="AX42" s="225" t="s">
        <v>66</v>
      </c>
      <c r="AY42" s="226"/>
      <c r="AZ42" s="226"/>
      <c r="BA42" s="43"/>
    </row>
    <row r="43" spans="2:53" ht="13.5" thickBot="1" x14ac:dyDescent="0.25">
      <c r="B43" s="103">
        <v>2008</v>
      </c>
      <c r="C43" s="103">
        <v>1082.9000000000001</v>
      </c>
      <c r="D43" s="103">
        <v>135.19999999999999</v>
      </c>
      <c r="E43" s="49">
        <f t="shared" si="0"/>
        <v>8009615.384615385</v>
      </c>
      <c r="F43" s="39">
        <v>2008</v>
      </c>
      <c r="G43" s="71">
        <v>8068195</v>
      </c>
      <c r="H43" s="89">
        <f t="shared" si="16"/>
        <v>134.2183722629411</v>
      </c>
      <c r="J43" s="39">
        <v>1804.9</v>
      </c>
      <c r="K43" s="89">
        <f t="shared" si="1"/>
        <v>223.7055500022</v>
      </c>
      <c r="L43" s="89">
        <f t="shared" si="2"/>
        <v>357.92392226514107</v>
      </c>
      <c r="M43" s="101">
        <f t="shared" si="17"/>
        <v>2008</v>
      </c>
      <c r="N43" s="90">
        <v>1202190064</v>
      </c>
      <c r="O43" s="91">
        <f t="shared" si="18"/>
        <v>149</v>
      </c>
      <c r="P43" s="91">
        <f t="shared" si="19"/>
        <v>1.1100000000000001</v>
      </c>
      <c r="Q43" s="91">
        <f t="shared" si="20"/>
        <v>0.42</v>
      </c>
      <c r="R43" s="99">
        <f t="shared" si="27"/>
        <v>0.15625000000000022</v>
      </c>
      <c r="S43" s="99">
        <f t="shared" si="28"/>
        <v>0.16666666666666674</v>
      </c>
      <c r="T43" s="99"/>
      <c r="U43" s="39">
        <f t="shared" si="31"/>
        <v>366</v>
      </c>
      <c r="V43" s="102">
        <f t="shared" si="21"/>
        <v>407687400000</v>
      </c>
      <c r="W43" s="102"/>
      <c r="X43" s="101">
        <f t="shared" si="22"/>
        <v>2008</v>
      </c>
      <c r="Y43" s="88">
        <f t="shared" si="23"/>
        <v>2.948803578427982E-3</v>
      </c>
      <c r="Z43" s="89">
        <f t="shared" si="24"/>
        <v>50530.186739413213</v>
      </c>
      <c r="AA43" s="71">
        <f t="shared" si="25"/>
        <v>8068195</v>
      </c>
      <c r="AB43" s="87">
        <f t="shared" si="26"/>
        <v>1202190064</v>
      </c>
      <c r="AC43" s="99"/>
      <c r="AD43" s="104">
        <v>2010</v>
      </c>
      <c r="AE43" s="100">
        <f t="shared" si="4"/>
        <v>-2.4884835650157053</v>
      </c>
      <c r="AF43" s="89">
        <f t="shared" si="5"/>
        <v>48.607870997669089</v>
      </c>
      <c r="AH43" s="100">
        <f t="shared" si="7"/>
        <v>9.1299757819552845</v>
      </c>
      <c r="AI43" s="49">
        <f t="shared" si="8"/>
        <v>1348887660.9761319</v>
      </c>
      <c r="AJ43" s="48" t="s">
        <v>68</v>
      </c>
      <c r="AK43" s="47"/>
      <c r="AL43" s="47"/>
      <c r="AM43" s="47"/>
      <c r="AN43" s="47"/>
      <c r="AO43" s="44"/>
      <c r="AP43" s="44"/>
      <c r="AQ43" s="44"/>
      <c r="AR43" s="43"/>
      <c r="AW43" s="45"/>
      <c r="AX43" s="44"/>
      <c r="AY43" s="98" t="s">
        <v>42</v>
      </c>
      <c r="AZ43" s="97">
        <v>32414501.605661225</v>
      </c>
      <c r="BA43" s="43"/>
    </row>
    <row r="44" spans="2:53" ht="13.5" thickBot="1" x14ac:dyDescent="0.25">
      <c r="B44" s="103">
        <v>2009</v>
      </c>
      <c r="C44" s="103">
        <v>1007.2</v>
      </c>
      <c r="D44" s="103">
        <v>125.8</v>
      </c>
      <c r="E44" s="49">
        <f t="shared" si="0"/>
        <v>8006359.3004769478</v>
      </c>
      <c r="F44" s="39">
        <v>2009</v>
      </c>
      <c r="G44" s="71">
        <v>8131574</v>
      </c>
      <c r="H44" s="89">
        <f t="shared" si="16"/>
        <v>123.86285853144791</v>
      </c>
      <c r="J44" s="39">
        <v>1804.9</v>
      </c>
      <c r="K44" s="89">
        <f t="shared" si="1"/>
        <v>221.96194734254402</v>
      </c>
      <c r="L44" s="89">
        <f t="shared" si="2"/>
        <v>345.82480587399192</v>
      </c>
      <c r="M44" s="101">
        <f t="shared" si="17"/>
        <v>2009</v>
      </c>
      <c r="N44" s="90">
        <v>1283505261</v>
      </c>
      <c r="O44" s="91">
        <f t="shared" si="18"/>
        <v>157.84</v>
      </c>
      <c r="P44" s="91">
        <f t="shared" si="19"/>
        <v>1.27</v>
      </c>
      <c r="Q44" s="91">
        <f t="shared" si="20"/>
        <v>0.46</v>
      </c>
      <c r="R44" s="99">
        <f t="shared" si="27"/>
        <v>0.144144144144144</v>
      </c>
      <c r="S44" s="99">
        <f t="shared" si="28"/>
        <v>9.5238095238095344E-2</v>
      </c>
      <c r="T44" s="99"/>
      <c r="U44" s="39">
        <f t="shared" si="31"/>
        <v>365</v>
      </c>
      <c r="V44" s="102">
        <f t="shared" si="21"/>
        <v>395258500000</v>
      </c>
      <c r="W44" s="102"/>
      <c r="X44" s="101">
        <f t="shared" si="22"/>
        <v>2009</v>
      </c>
      <c r="Y44" s="88">
        <f t="shared" si="23"/>
        <v>3.2472553050725034E-3</v>
      </c>
      <c r="Z44" s="89">
        <f t="shared" si="24"/>
        <v>48607.870997669088</v>
      </c>
      <c r="AA44" s="71">
        <f t="shared" si="25"/>
        <v>8131574</v>
      </c>
      <c r="AB44" s="87">
        <f t="shared" si="26"/>
        <v>1283505261</v>
      </c>
      <c r="AC44" s="99"/>
      <c r="AD44" s="99"/>
      <c r="AE44" s="100"/>
      <c r="AF44" s="89"/>
      <c r="AG44" s="99"/>
      <c r="AJ44" s="45"/>
      <c r="AK44" s="44"/>
      <c r="AL44" s="44"/>
      <c r="AM44" s="44"/>
      <c r="AN44" s="44"/>
      <c r="AO44" s="44"/>
      <c r="AP44" s="44"/>
      <c r="AQ44" s="44"/>
      <c r="AR44" s="43"/>
      <c r="AW44" s="45"/>
      <c r="AX44" s="44"/>
      <c r="AY44" s="98" t="s">
        <v>67</v>
      </c>
      <c r="AZ44" s="97">
        <v>113400508.95028035</v>
      </c>
      <c r="BA44" s="43"/>
    </row>
    <row r="45" spans="2:53" ht="13.5" thickBot="1" x14ac:dyDescent="0.25">
      <c r="F45" s="39">
        <v>2010</v>
      </c>
      <c r="G45" s="71">
        <v>8186443</v>
      </c>
      <c r="H45" s="89"/>
      <c r="N45" s="90">
        <v>1539845240</v>
      </c>
      <c r="O45" s="91">
        <f>ROUND(N45/G45,2)</f>
        <v>188.1</v>
      </c>
      <c r="Q45" s="89"/>
      <c r="AD45" s="96" t="s">
        <v>66</v>
      </c>
      <c r="AE45" s="88">
        <f>AK59</f>
        <v>11.327242092220018</v>
      </c>
      <c r="AF45" s="88">
        <f>AK60</f>
        <v>0.98670220994168822</v>
      </c>
      <c r="AG45" s="88">
        <f>AK61</f>
        <v>5.3103729384117787E-3</v>
      </c>
      <c r="AJ45" s="95" t="s">
        <v>65</v>
      </c>
      <c r="AK45" s="94"/>
      <c r="AL45" s="44"/>
      <c r="AM45" s="44"/>
      <c r="AN45" s="44"/>
      <c r="AO45" s="44"/>
      <c r="AP45" s="44"/>
      <c r="AQ45" s="44"/>
      <c r="AR45" s="43"/>
      <c r="AW45" s="42"/>
      <c r="AX45" s="41"/>
      <c r="AY45" s="93" t="s">
        <v>64</v>
      </c>
      <c r="AZ45" s="92">
        <v>8887837.422783751</v>
      </c>
      <c r="BA45" s="40"/>
    </row>
    <row r="46" spans="2:53" x14ac:dyDescent="0.2">
      <c r="F46" s="39">
        <v>2011</v>
      </c>
      <c r="G46" s="71">
        <v>8244910</v>
      </c>
      <c r="H46" s="89"/>
      <c r="N46" s="90">
        <v>1294532700</v>
      </c>
      <c r="O46" s="91">
        <f>ROUND(N46/G46,2)</f>
        <v>157.01</v>
      </c>
      <c r="Q46" s="89"/>
      <c r="AJ46" s="59" t="s">
        <v>63</v>
      </c>
      <c r="AK46" s="78">
        <v>0.991199626543809</v>
      </c>
      <c r="AL46" s="44"/>
      <c r="AM46" s="44"/>
      <c r="AN46" s="44"/>
      <c r="AO46" s="44"/>
      <c r="AP46" s="44"/>
      <c r="AQ46" s="44"/>
      <c r="AR46" s="55"/>
    </row>
    <row r="47" spans="2:53" x14ac:dyDescent="0.2">
      <c r="J47" s="71"/>
      <c r="N47" s="90">
        <v>1373037802</v>
      </c>
      <c r="Q47" s="89"/>
      <c r="Y47" s="88"/>
      <c r="AI47" s="87"/>
      <c r="AJ47" s="59" t="s">
        <v>62</v>
      </c>
      <c r="AK47" s="78">
        <v>0.98247669966058637</v>
      </c>
      <c r="AL47" s="44"/>
      <c r="AM47" s="44"/>
      <c r="AN47" s="44"/>
      <c r="AO47" s="44"/>
      <c r="AP47" s="44"/>
      <c r="AQ47" s="44"/>
      <c r="AR47" s="55"/>
    </row>
    <row r="48" spans="2:53" x14ac:dyDescent="0.2">
      <c r="J48" s="71"/>
      <c r="AJ48" s="59" t="s">
        <v>61</v>
      </c>
      <c r="AK48" s="78">
        <v>0.98112875348063144</v>
      </c>
      <c r="AL48" s="44"/>
      <c r="AM48" s="44"/>
      <c r="AN48" s="44"/>
      <c r="AO48" s="44"/>
      <c r="AP48" s="44"/>
      <c r="AQ48" s="44"/>
      <c r="AR48" s="55"/>
    </row>
    <row r="49" spans="8:44" x14ac:dyDescent="0.2">
      <c r="J49" s="71"/>
      <c r="AJ49" s="59" t="s">
        <v>49</v>
      </c>
      <c r="AK49" s="78">
        <v>2.5786892835495786E-2</v>
      </c>
      <c r="AL49" s="44"/>
      <c r="AM49" s="44"/>
      <c r="AN49" s="44"/>
      <c r="AO49" s="44"/>
      <c r="AP49" s="44"/>
      <c r="AQ49" s="44"/>
      <c r="AR49" s="43"/>
    </row>
    <row r="50" spans="8:44" ht="13.5" thickBot="1" x14ac:dyDescent="0.25">
      <c r="J50" s="71"/>
      <c r="AJ50" s="54" t="s">
        <v>60</v>
      </c>
      <c r="AK50" s="83">
        <v>29</v>
      </c>
      <c r="AL50" s="44"/>
      <c r="AM50" s="44"/>
      <c r="AN50" s="44"/>
      <c r="AO50" s="44"/>
      <c r="AP50" s="44"/>
      <c r="AQ50" s="44"/>
      <c r="AR50" s="43"/>
    </row>
    <row r="51" spans="8:44" x14ac:dyDescent="0.2">
      <c r="J51" s="71"/>
      <c r="AJ51" s="45"/>
      <c r="AK51" s="44"/>
      <c r="AL51" s="44"/>
      <c r="AM51" s="44"/>
      <c r="AN51" s="44"/>
      <c r="AO51" s="44"/>
      <c r="AP51" s="44"/>
      <c r="AQ51" s="44"/>
      <c r="AR51" s="43"/>
    </row>
    <row r="52" spans="8:44" ht="13.5" thickBot="1" x14ac:dyDescent="0.25">
      <c r="J52" s="71"/>
      <c r="AJ52" s="45" t="s">
        <v>59</v>
      </c>
      <c r="AK52" s="44"/>
      <c r="AL52" s="44"/>
      <c r="AM52" s="44"/>
      <c r="AN52" s="44"/>
      <c r="AO52" s="44"/>
      <c r="AP52" s="44"/>
      <c r="AQ52" s="44"/>
      <c r="AR52" s="43"/>
    </row>
    <row r="53" spans="8:44" x14ac:dyDescent="0.2">
      <c r="J53" s="71"/>
      <c r="AJ53" s="68"/>
      <c r="AK53" s="66" t="s">
        <v>58</v>
      </c>
      <c r="AL53" s="66" t="s">
        <v>57</v>
      </c>
      <c r="AM53" s="66" t="s">
        <v>56</v>
      </c>
      <c r="AN53" s="66" t="s">
        <v>55</v>
      </c>
      <c r="AO53" s="66" t="s">
        <v>54</v>
      </c>
      <c r="AP53" s="44"/>
      <c r="AQ53" s="44"/>
      <c r="AR53" s="43"/>
    </row>
    <row r="54" spans="8:44" x14ac:dyDescent="0.2">
      <c r="J54" s="71"/>
      <c r="Q54" s="71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J54" s="59" t="s">
        <v>53</v>
      </c>
      <c r="AK54" s="84">
        <v>2</v>
      </c>
      <c r="AL54" s="78">
        <v>0.96934356980198422</v>
      </c>
      <c r="AM54" s="78">
        <v>0.48467178490099211</v>
      </c>
      <c r="AN54" s="85">
        <v>728.86938237657489</v>
      </c>
      <c r="AO54" s="78">
        <v>1.4689491409713665E-23</v>
      </c>
      <c r="AP54" s="44"/>
      <c r="AQ54" s="44"/>
      <c r="AR54" s="43"/>
    </row>
    <row r="55" spans="8:44" x14ac:dyDescent="0.2">
      <c r="H55" s="71"/>
      <c r="J55" s="71"/>
      <c r="AJ55" s="59" t="s">
        <v>52</v>
      </c>
      <c r="AK55" s="84">
        <v>26</v>
      </c>
      <c r="AL55" s="78">
        <v>1.7289059894842952E-2</v>
      </c>
      <c r="AM55" s="78">
        <v>6.6496384210934436E-4</v>
      </c>
      <c r="AN55" s="78"/>
      <c r="AO55" s="78"/>
      <c r="AP55" s="44"/>
      <c r="AQ55" s="44"/>
      <c r="AR55" s="43"/>
    </row>
    <row r="56" spans="8:44" ht="13.5" thickBot="1" x14ac:dyDescent="0.25">
      <c r="J56" s="71"/>
      <c r="AJ56" s="54" t="s">
        <v>51</v>
      </c>
      <c r="AK56" s="83">
        <v>28</v>
      </c>
      <c r="AL56" s="74">
        <v>0.98663262969682719</v>
      </c>
      <c r="AM56" s="74"/>
      <c r="AN56" s="74"/>
      <c r="AO56" s="74"/>
      <c r="AP56" s="44"/>
      <c r="AQ56" s="44"/>
      <c r="AR56" s="43"/>
    </row>
    <row r="57" spans="8:44" s="61" customFormat="1" ht="13.5" thickBot="1" x14ac:dyDescent="0.25">
      <c r="J57" s="82"/>
      <c r="AJ57" s="45"/>
      <c r="AK57" s="44"/>
      <c r="AL57" s="44"/>
      <c r="AM57" s="44"/>
      <c r="AN57" s="44"/>
      <c r="AO57" s="44"/>
      <c r="AP57" s="44"/>
      <c r="AQ57" s="44"/>
      <c r="AR57" s="43"/>
    </row>
    <row r="58" spans="8:44" ht="25.5" x14ac:dyDescent="0.2">
      <c r="J58" s="71"/>
      <c r="AJ58" s="81"/>
      <c r="AK58" s="67" t="s">
        <v>50</v>
      </c>
      <c r="AL58" s="67" t="s">
        <v>49</v>
      </c>
      <c r="AM58" s="67" t="s">
        <v>48</v>
      </c>
      <c r="AN58" s="67" t="s">
        <v>47</v>
      </c>
      <c r="AO58" s="67" t="s">
        <v>46</v>
      </c>
      <c r="AP58" s="67" t="s">
        <v>45</v>
      </c>
      <c r="AQ58" s="67" t="s">
        <v>44</v>
      </c>
      <c r="AR58" s="80" t="s">
        <v>43</v>
      </c>
    </row>
    <row r="59" spans="8:44" x14ac:dyDescent="0.2">
      <c r="J59" s="71"/>
      <c r="AJ59" s="59" t="s">
        <v>42</v>
      </c>
      <c r="AK59" s="78">
        <v>11.327242092220018</v>
      </c>
      <c r="AL59" s="77">
        <v>7.7456105210603546E-2</v>
      </c>
      <c r="AM59" s="79">
        <v>146.24079097988712</v>
      </c>
      <c r="AN59" s="78">
        <v>1.9343527470802848E-39</v>
      </c>
      <c r="AO59" s="77">
        <v>11.168028787757002</v>
      </c>
      <c r="AP59" s="77">
        <v>11.486455396683034</v>
      </c>
      <c r="AQ59" s="77">
        <v>11.168028787757002</v>
      </c>
      <c r="AR59" s="76">
        <v>11.486455396683034</v>
      </c>
    </row>
    <row r="60" spans="8:44" x14ac:dyDescent="0.2">
      <c r="J60" s="71"/>
      <c r="AJ60" s="59" t="s">
        <v>41</v>
      </c>
      <c r="AK60" s="78">
        <v>0.98670220994168822</v>
      </c>
      <c r="AL60" s="77">
        <v>4.644207292346255E-2</v>
      </c>
      <c r="AM60" s="79">
        <v>21.245869269612339</v>
      </c>
      <c r="AN60" s="78">
        <v>5.9004671372094294E-18</v>
      </c>
      <c r="AO60" s="77">
        <v>0.8912391618559119</v>
      </c>
      <c r="AP60" s="77">
        <v>1.0821652580274645</v>
      </c>
      <c r="AQ60" s="77">
        <v>0.8912391618559119</v>
      </c>
      <c r="AR60" s="76">
        <v>1.0821652580274645</v>
      </c>
    </row>
    <row r="61" spans="8:44" ht="13.5" thickBot="1" x14ac:dyDescent="0.25">
      <c r="J61" s="71"/>
      <c r="AJ61" s="54" t="s">
        <v>40</v>
      </c>
      <c r="AK61" s="74">
        <v>5.3103729384117787E-3</v>
      </c>
      <c r="AL61" s="73">
        <v>1.1356336804250247E-3</v>
      </c>
      <c r="AM61" s="75">
        <v>4.676131951655667</v>
      </c>
      <c r="AN61" s="74">
        <v>7.9027406367136122E-5</v>
      </c>
      <c r="AO61" s="73">
        <v>2.9760444767837875E-3</v>
      </c>
      <c r="AP61" s="73">
        <v>7.6447014000397698E-3</v>
      </c>
      <c r="AQ61" s="73">
        <v>2.9760444767837875E-3</v>
      </c>
      <c r="AR61" s="72">
        <v>7.6447014000397698E-3</v>
      </c>
    </row>
    <row r="62" spans="8:44" x14ac:dyDescent="0.2">
      <c r="J62" s="71"/>
    </row>
    <row r="63" spans="8:44" ht="13.5" thickBot="1" x14ac:dyDescent="0.25"/>
    <row r="64" spans="8:44" ht="13.5" thickBot="1" x14ac:dyDescent="0.25">
      <c r="AJ64" s="48" t="s">
        <v>39</v>
      </c>
      <c r="AK64" s="47"/>
      <c r="AL64" s="47"/>
      <c r="AM64" s="227" t="s">
        <v>38</v>
      </c>
      <c r="AN64" s="228"/>
      <c r="AO64" s="47"/>
      <c r="AP64" s="46"/>
    </row>
    <row r="65" spans="36:43" ht="13.5" thickBot="1" x14ac:dyDescent="0.25">
      <c r="AJ65" s="45"/>
      <c r="AK65" s="44"/>
      <c r="AL65" s="44"/>
      <c r="AM65" s="70">
        <f>AM66/AN66</f>
        <v>2.5874073478912512</v>
      </c>
      <c r="AN65" s="69"/>
      <c r="AO65" s="44"/>
      <c r="AP65" s="43"/>
    </row>
    <row r="66" spans="36:43" s="61" customFormat="1" ht="26.25" thickBot="1" x14ac:dyDescent="0.25">
      <c r="AJ66" s="68" t="s">
        <v>37</v>
      </c>
      <c r="AK66" s="67" t="s">
        <v>36</v>
      </c>
      <c r="AL66" s="66" t="s">
        <v>35</v>
      </c>
      <c r="AM66" s="65">
        <f>SUM(AM67:AM95)</f>
        <v>4.4733840610048599E-2</v>
      </c>
      <c r="AN66" s="65">
        <f>SUM(AN67:AN95)</f>
        <v>1.7289059894842952E-2</v>
      </c>
      <c r="AO66" s="64"/>
      <c r="AP66" s="63" t="s">
        <v>34</v>
      </c>
      <c r="AQ66" s="62"/>
    </row>
    <row r="67" spans="36:43" x14ac:dyDescent="0.2">
      <c r="AJ67" s="59">
        <v>1</v>
      </c>
      <c r="AK67" s="58">
        <v>8.4135836146182292</v>
      </c>
      <c r="AL67" s="58">
        <v>4.3177278429613608E-3</v>
      </c>
      <c r="AM67" s="48"/>
      <c r="AN67" s="60">
        <f t="shared" ref="AN67:AN95" si="32">AL67^2</f>
        <v>1.8642773725883766E-5</v>
      </c>
      <c r="AO67" s="44"/>
      <c r="AP67" s="55">
        <f t="shared" ref="AP67:AP95" si="33">10^AK67</f>
        <v>259169335.14575863</v>
      </c>
      <c r="AQ67" s="49"/>
    </row>
    <row r="68" spans="36:43" x14ac:dyDescent="0.2">
      <c r="AJ68" s="59">
        <v>2</v>
      </c>
      <c r="AK68" s="58">
        <v>8.4616172922249042</v>
      </c>
      <c r="AL68" s="58">
        <v>-3.9055396823286515E-2</v>
      </c>
      <c r="AM68" s="57">
        <f t="shared" ref="AM68:AM95" si="34">(AL68-AL67)^2</f>
        <v>1.8812279433138798E-3</v>
      </c>
      <c r="AN68" s="56">
        <f t="shared" si="32"/>
        <v>1.5253240210243784E-3</v>
      </c>
      <c r="AO68" s="44"/>
      <c r="AP68" s="55">
        <f t="shared" si="33"/>
        <v>289479152.32723558</v>
      </c>
      <c r="AQ68" s="49"/>
    </row>
    <row r="69" spans="36:43" x14ac:dyDescent="0.2">
      <c r="AJ69" s="59">
        <v>3</v>
      </c>
      <c r="AK69" s="58">
        <v>8.4718036033034316</v>
      </c>
      <c r="AL69" s="58">
        <v>3.2296194197877881E-2</v>
      </c>
      <c r="AM69" s="57">
        <f t="shared" si="34"/>
        <v>5.0910495412515074E-3</v>
      </c>
      <c r="AN69" s="56">
        <f t="shared" si="32"/>
        <v>1.043044159667041E-3</v>
      </c>
      <c r="AO69" s="44"/>
      <c r="AP69" s="55">
        <f t="shared" si="33"/>
        <v>296349093.62724054</v>
      </c>
      <c r="AQ69" s="49"/>
    </row>
    <row r="70" spans="36:43" x14ac:dyDescent="0.2">
      <c r="AJ70" s="59">
        <v>4</v>
      </c>
      <c r="AK70" s="58">
        <v>8.5456981550683313</v>
      </c>
      <c r="AL70" s="58">
        <v>-8.083804456976651E-3</v>
      </c>
      <c r="AM70" s="57">
        <f t="shared" si="34"/>
        <v>1.6305442913660537E-3</v>
      </c>
      <c r="AN70" s="56">
        <f t="shared" si="32"/>
        <v>6.5347894498635572E-5</v>
      </c>
      <c r="AO70" s="44"/>
      <c r="AP70" s="55">
        <f t="shared" si="33"/>
        <v>351316182.60357141</v>
      </c>
      <c r="AQ70" s="49"/>
    </row>
    <row r="71" spans="36:43" x14ac:dyDescent="0.2">
      <c r="AJ71" s="59">
        <v>5</v>
      </c>
      <c r="AK71" s="58">
        <v>8.5746424470298557</v>
      </c>
      <c r="AL71" s="58">
        <v>3.0897406442900177E-3</v>
      </c>
      <c r="AM71" s="57">
        <f t="shared" si="34"/>
        <v>1.2484811013004036E-4</v>
      </c>
      <c r="AN71" s="56">
        <f t="shared" si="32"/>
        <v>9.5464972489776939E-6</v>
      </c>
      <c r="AO71" s="44"/>
      <c r="AP71" s="55">
        <f t="shared" si="33"/>
        <v>375528106.14405364</v>
      </c>
      <c r="AQ71" s="49"/>
    </row>
    <row r="72" spans="36:43" x14ac:dyDescent="0.2">
      <c r="AJ72" s="59">
        <v>6</v>
      </c>
      <c r="AK72" s="58">
        <v>8.6113370902194681</v>
      </c>
      <c r="AL72" s="58">
        <v>3.7596509306062842E-2</v>
      </c>
      <c r="AM72" s="57">
        <f t="shared" si="34"/>
        <v>1.1907170834771072E-3</v>
      </c>
      <c r="AN72" s="56">
        <f t="shared" si="32"/>
        <v>1.41349751200087E-3</v>
      </c>
      <c r="AO72" s="44"/>
      <c r="AP72" s="55">
        <f t="shared" si="33"/>
        <v>408636438.25927377</v>
      </c>
      <c r="AQ72" s="49"/>
    </row>
    <row r="73" spans="36:43" x14ac:dyDescent="0.2">
      <c r="AJ73" s="59">
        <v>7</v>
      </c>
      <c r="AK73" s="58">
        <v>8.6849154797315755</v>
      </c>
      <c r="AL73" s="58">
        <v>-4.3683992438092289E-2</v>
      </c>
      <c r="AM73" s="57">
        <f t="shared" si="34"/>
        <v>6.6065199637816057E-3</v>
      </c>
      <c r="AN73" s="56">
        <f t="shared" si="32"/>
        <v>1.9082911953313044E-3</v>
      </c>
      <c r="AO73" s="44"/>
      <c r="AP73" s="55">
        <f t="shared" si="33"/>
        <v>484078149.49388951</v>
      </c>
      <c r="AQ73" s="49"/>
    </row>
    <row r="74" spans="36:43" x14ac:dyDescent="0.2">
      <c r="AJ74" s="59">
        <v>8</v>
      </c>
      <c r="AK74" s="58">
        <v>8.675021009574623</v>
      </c>
      <c r="AL74" s="58">
        <v>-3.6884798784150519E-2</v>
      </c>
      <c r="AM74" s="57">
        <f t="shared" si="34"/>
        <v>4.6229034343802047E-5</v>
      </c>
      <c r="AN74" s="56">
        <f t="shared" si="32"/>
        <v>1.3604883813472717E-3</v>
      </c>
      <c r="AO74" s="44"/>
      <c r="AP74" s="55">
        <f t="shared" si="33"/>
        <v>473174148.83816302</v>
      </c>
      <c r="AQ74" s="49"/>
    </row>
    <row r="75" spans="36:43" x14ac:dyDescent="0.2">
      <c r="AJ75" s="59">
        <v>9</v>
      </c>
      <c r="AK75" s="58">
        <v>8.6683896052389375</v>
      </c>
      <c r="AL75" s="58">
        <v>6.8510420894885016E-2</v>
      </c>
      <c r="AM75" s="57">
        <f t="shared" si="34"/>
        <v>1.1108152331192158E-2</v>
      </c>
      <c r="AN75" s="56">
        <f t="shared" si="32"/>
        <v>4.6936777711942971E-3</v>
      </c>
      <c r="AO75" s="44"/>
      <c r="AP75" s="55">
        <f t="shared" si="33"/>
        <v>466003957.84698147</v>
      </c>
      <c r="AQ75" s="49"/>
    </row>
    <row r="76" spans="36:43" x14ac:dyDescent="0.2">
      <c r="AJ76" s="59">
        <v>10</v>
      </c>
      <c r="AK76" s="58">
        <v>8.7635574125397184</v>
      </c>
      <c r="AL76" s="58">
        <v>-6.635273740217329E-3</v>
      </c>
      <c r="AM76" s="57">
        <f t="shared" si="34"/>
        <v>5.6468754221920495E-3</v>
      </c>
      <c r="AN76" s="56">
        <f t="shared" si="32"/>
        <v>4.4026857607617661E-5</v>
      </c>
      <c r="AO76" s="44"/>
      <c r="AP76" s="55">
        <f t="shared" si="33"/>
        <v>580172864.71528852</v>
      </c>
      <c r="AQ76" s="49"/>
    </row>
    <row r="77" spans="36:43" x14ac:dyDescent="0.2">
      <c r="AJ77" s="59">
        <v>11</v>
      </c>
      <c r="AK77" s="58">
        <v>8.7853464615456343</v>
      </c>
      <c r="AL77" s="58">
        <v>-9.8250155315700027E-3</v>
      </c>
      <c r="AM77" s="57">
        <f t="shared" si="34"/>
        <v>1.0174452695501764E-5</v>
      </c>
      <c r="AN77" s="56">
        <f t="shared" si="32"/>
        <v>9.6530930195591789E-5</v>
      </c>
      <c r="AO77" s="44"/>
      <c r="AP77" s="55">
        <f t="shared" si="33"/>
        <v>610023353.69394815</v>
      </c>
      <c r="AQ77" s="49"/>
    </row>
    <row r="78" spans="36:43" x14ac:dyDescent="0.2">
      <c r="AJ78" s="59">
        <v>12</v>
      </c>
      <c r="AK78" s="58">
        <v>8.8039336529565961</v>
      </c>
      <c r="AL78" s="58">
        <v>5.0358107423136289E-3</v>
      </c>
      <c r="AM78" s="57">
        <f t="shared" si="34"/>
        <v>2.2084415754255007E-4</v>
      </c>
      <c r="AN78" s="56">
        <f t="shared" si="32"/>
        <v>2.5359389832401341E-5</v>
      </c>
      <c r="AO78" s="44"/>
      <c r="AP78" s="55">
        <f t="shared" si="33"/>
        <v>636698245.26945603</v>
      </c>
      <c r="AQ78" s="49"/>
    </row>
    <row r="79" spans="36:43" x14ac:dyDescent="0.2">
      <c r="AJ79" s="59">
        <v>13</v>
      </c>
      <c r="AK79" s="58">
        <v>8.8348698178703806</v>
      </c>
      <c r="AL79" s="58">
        <v>1.5851048908684717E-2</v>
      </c>
      <c r="AM79" s="57">
        <f t="shared" si="34"/>
        <v>1.1696937659532986E-4</v>
      </c>
      <c r="AN79" s="56">
        <f t="shared" si="32"/>
        <v>2.5125575150551497E-4</v>
      </c>
      <c r="AO79" s="44"/>
      <c r="AP79" s="55">
        <f t="shared" si="33"/>
        <v>683706671.77360606</v>
      </c>
      <c r="AQ79" s="49"/>
    </row>
    <row r="80" spans="36:43" x14ac:dyDescent="0.2">
      <c r="AJ80" s="59">
        <v>14</v>
      </c>
      <c r="AK80" s="58">
        <v>8.8790298977194801</v>
      </c>
      <c r="AL80" s="58">
        <v>-2.2998816864957305E-2</v>
      </c>
      <c r="AM80" s="57">
        <f t="shared" si="34"/>
        <v>1.5093120706300019E-3</v>
      </c>
      <c r="AN80" s="56">
        <f t="shared" si="32"/>
        <v>5.2894557718784457E-4</v>
      </c>
      <c r="AO80" s="44"/>
      <c r="AP80" s="55">
        <f t="shared" si="33"/>
        <v>756884998.73726439</v>
      </c>
      <c r="AQ80" s="49"/>
    </row>
    <row r="81" spans="36:43" x14ac:dyDescent="0.2">
      <c r="AJ81" s="59">
        <v>15</v>
      </c>
      <c r="AK81" s="58">
        <v>8.8729155513458959</v>
      </c>
      <c r="AL81" s="58">
        <v>-4.5289535352726062E-3</v>
      </c>
      <c r="AM81" s="57">
        <f t="shared" si="34"/>
        <v>3.4113585141723159E-4</v>
      </c>
      <c r="AN81" s="56">
        <f t="shared" si="32"/>
        <v>2.0511420124658238E-5</v>
      </c>
      <c r="AO81" s="44"/>
      <c r="AP81" s="55">
        <f t="shared" si="33"/>
        <v>746303625.40173042</v>
      </c>
      <c r="AQ81" s="49"/>
    </row>
    <row r="82" spans="36:43" x14ac:dyDescent="0.2">
      <c r="AJ82" s="59">
        <v>16</v>
      </c>
      <c r="AK82" s="58">
        <v>8.8828867952061454</v>
      </c>
      <c r="AL82" s="58">
        <v>-1.8991278485403384E-2</v>
      </c>
      <c r="AM82" s="57">
        <f t="shared" si="34"/>
        <v>2.0915884296317521E-4</v>
      </c>
      <c r="AN82" s="56">
        <f t="shared" si="32"/>
        <v>3.6066865851014547E-4</v>
      </c>
      <c r="AO82" s="44"/>
      <c r="AP82" s="55">
        <f t="shared" si="33"/>
        <v>763636705.28583336</v>
      </c>
      <c r="AQ82" s="49"/>
    </row>
    <row r="83" spans="36:43" x14ac:dyDescent="0.2">
      <c r="AJ83" s="59">
        <v>17</v>
      </c>
      <c r="AK83" s="58">
        <v>8.8774872871291031</v>
      </c>
      <c r="AL83" s="58">
        <v>1.1992724178577774E-2</v>
      </c>
      <c r="AM83" s="57">
        <f t="shared" si="34"/>
        <v>9.6000842108159151E-4</v>
      </c>
      <c r="AN83" s="56">
        <f t="shared" si="32"/>
        <v>1.4382543322344395E-4</v>
      </c>
      <c r="AO83" s="44"/>
      <c r="AP83" s="55">
        <f t="shared" si="33"/>
        <v>754201318.19123042</v>
      </c>
      <c r="AQ83" s="49"/>
    </row>
    <row r="84" spans="36:43" x14ac:dyDescent="0.2">
      <c r="AJ84" s="59">
        <v>18</v>
      </c>
      <c r="AK84" s="58">
        <v>8.9018640791544996</v>
      </c>
      <c r="AL84" s="58">
        <v>1.3430290431491798E-2</v>
      </c>
      <c r="AM84" s="57">
        <f t="shared" si="34"/>
        <v>2.0665967315172686E-6</v>
      </c>
      <c r="AN84" s="56">
        <f t="shared" si="32"/>
        <v>1.8037270107422015E-4</v>
      </c>
      <c r="AO84" s="44"/>
      <c r="AP84" s="55">
        <f t="shared" si="33"/>
        <v>797744978.49681294</v>
      </c>
      <c r="AQ84" s="49"/>
    </row>
    <row r="85" spans="36:43" x14ac:dyDescent="0.2">
      <c r="AJ85" s="59">
        <v>19</v>
      </c>
      <c r="AK85" s="58">
        <v>8.9326986720035961</v>
      </c>
      <c r="AL85" s="58">
        <v>-4.1913399951754471E-2</v>
      </c>
      <c r="AM85" s="57">
        <f t="shared" si="34"/>
        <v>3.0629240652366254E-3</v>
      </c>
      <c r="AN85" s="56">
        <f t="shared" si="32"/>
        <v>1.7567330955157317E-3</v>
      </c>
      <c r="AO85" s="44"/>
      <c r="AP85" s="55">
        <f t="shared" si="33"/>
        <v>856443410.03222251</v>
      </c>
      <c r="AQ85" s="49"/>
    </row>
    <row r="86" spans="36:43" x14ac:dyDescent="0.2">
      <c r="AJ86" s="59">
        <v>20</v>
      </c>
      <c r="AK86" s="58">
        <v>8.9032795980259767</v>
      </c>
      <c r="AL86" s="58">
        <v>4.9121855651002022E-4</v>
      </c>
      <c r="AM86" s="57">
        <f t="shared" si="34"/>
        <v>1.7981516708314475E-3</v>
      </c>
      <c r="AN86" s="56">
        <f t="shared" si="32"/>
        <v>2.412956702597879E-7</v>
      </c>
      <c r="AO86" s="44"/>
      <c r="AP86" s="55">
        <f t="shared" si="33"/>
        <v>800349352.68970942</v>
      </c>
      <c r="AQ86" s="49"/>
    </row>
    <row r="87" spans="36:43" x14ac:dyDescent="0.2">
      <c r="AJ87" s="59">
        <v>21</v>
      </c>
      <c r="AK87" s="58">
        <v>8.9119244944734675</v>
      </c>
      <c r="AL87" s="58">
        <v>1.3658272573660923E-2</v>
      </c>
      <c r="AM87" s="57">
        <f t="shared" si="34"/>
        <v>1.7337131149056974E-4</v>
      </c>
      <c r="AN87" s="56">
        <f t="shared" si="32"/>
        <v>1.8654840969641818E-4</v>
      </c>
      <c r="AO87" s="44"/>
      <c r="AP87" s="55">
        <f t="shared" si="33"/>
        <v>816440414.40299654</v>
      </c>
      <c r="AQ87" s="49"/>
    </row>
    <row r="88" spans="36:43" x14ac:dyDescent="0.2">
      <c r="AJ88" s="59">
        <v>22</v>
      </c>
      <c r="AK88" s="58">
        <v>8.9314548243823761</v>
      </c>
      <c r="AL88" s="58">
        <v>1.9851860659212406E-3</v>
      </c>
      <c r="AM88" s="57">
        <f t="shared" si="34"/>
        <v>1.3626094861717423E-4</v>
      </c>
      <c r="AN88" s="56">
        <f t="shared" si="32"/>
        <v>3.9409637163278519E-6</v>
      </c>
      <c r="AO88" s="44"/>
      <c r="AP88" s="55">
        <f t="shared" si="33"/>
        <v>853994009.74029136</v>
      </c>
      <c r="AQ88" s="49"/>
    </row>
    <row r="89" spans="36:43" x14ac:dyDescent="0.2">
      <c r="AJ89" s="59">
        <v>23</v>
      </c>
      <c r="AK89" s="58">
        <v>8.9448849672878001</v>
      </c>
      <c r="AL89" s="58">
        <v>-1.7334072295421166E-2</v>
      </c>
      <c r="AM89" s="57">
        <f t="shared" si="34"/>
        <v>3.7323374363229848E-4</v>
      </c>
      <c r="AN89" s="56">
        <f t="shared" si="32"/>
        <v>3.0047006234288758E-4</v>
      </c>
      <c r="AO89" s="44"/>
      <c r="AP89" s="55">
        <f t="shared" si="33"/>
        <v>880815538.19833052</v>
      </c>
      <c r="AQ89" s="49"/>
    </row>
    <row r="90" spans="36:43" x14ac:dyDescent="0.2">
      <c r="AJ90" s="59">
        <v>24</v>
      </c>
      <c r="AK90" s="58">
        <v>8.9458636303574952</v>
      </c>
      <c r="AL90" s="58">
        <v>9.5447777501256326E-4</v>
      </c>
      <c r="AM90" s="57">
        <f t="shared" si="34"/>
        <v>3.3447106367876157E-4</v>
      </c>
      <c r="AN90" s="56">
        <f t="shared" si="32"/>
        <v>9.1102782299293327E-7</v>
      </c>
      <c r="AO90" s="44"/>
      <c r="AP90" s="55">
        <f t="shared" si="33"/>
        <v>882802654.47051406</v>
      </c>
      <c r="AQ90" s="49"/>
    </row>
    <row r="91" spans="36:43" x14ac:dyDescent="0.2">
      <c r="AJ91" s="59">
        <v>25</v>
      </c>
      <c r="AK91" s="58">
        <v>8.9717256709582234</v>
      </c>
      <c r="AL91" s="58">
        <v>-1.7809466733410773E-2</v>
      </c>
      <c r="AM91" s="57">
        <f t="shared" si="34"/>
        <v>3.5208561351519028E-4</v>
      </c>
      <c r="AN91" s="56">
        <f t="shared" si="32"/>
        <v>3.17177105328465E-4</v>
      </c>
      <c r="AO91" s="44"/>
      <c r="AP91" s="55">
        <f t="shared" si="33"/>
        <v>936969967.92381299</v>
      </c>
      <c r="AQ91" s="49"/>
    </row>
    <row r="92" spans="36:43" x14ac:dyDescent="0.2">
      <c r="AJ92" s="59">
        <v>26</v>
      </c>
      <c r="AK92" s="58">
        <v>8.9784086542228696</v>
      </c>
      <c r="AL92" s="58">
        <v>1.7027010807769472E-2</v>
      </c>
      <c r="AM92" s="57">
        <f t="shared" si="34"/>
        <v>1.2135801674771555E-3</v>
      </c>
      <c r="AN92" s="56">
        <f t="shared" si="32"/>
        <v>2.8991909704789839E-4</v>
      </c>
      <c r="AO92" s="44"/>
      <c r="AP92" s="55">
        <f t="shared" si="33"/>
        <v>951499696.77777529</v>
      </c>
      <c r="AQ92" s="49"/>
    </row>
    <row r="93" spans="36:43" x14ac:dyDescent="0.2">
      <c r="AJ93" s="59">
        <v>27</v>
      </c>
      <c r="AK93" s="58">
        <v>9.0193148493305308</v>
      </c>
      <c r="AL93" s="58">
        <v>7.5751132880093053E-3</v>
      </c>
      <c r="AM93" s="57">
        <f t="shared" si="34"/>
        <v>8.9338366724048377E-5</v>
      </c>
      <c r="AN93" s="56">
        <f t="shared" si="32"/>
        <v>5.7382341326175149E-5</v>
      </c>
      <c r="AO93" s="44"/>
      <c r="AP93" s="55">
        <f t="shared" si="33"/>
        <v>1045477881.9029406</v>
      </c>
      <c r="AQ93" s="49"/>
    </row>
    <row r="94" spans="36:43" x14ac:dyDescent="0.2">
      <c r="AJ94" s="59">
        <v>28</v>
      </c>
      <c r="AK94" s="58">
        <v>9.0555680722864604</v>
      </c>
      <c r="AL94" s="58">
        <v>2.4405061953521212E-2</v>
      </c>
      <c r="AM94" s="57">
        <f t="shared" si="34"/>
        <v>2.83247172083766E-4</v>
      </c>
      <c r="AN94" s="56">
        <f t="shared" si="32"/>
        <v>5.9560704895520865E-4</v>
      </c>
      <c r="AO94" s="44"/>
      <c r="AP94" s="55">
        <f t="shared" si="33"/>
        <v>1136496420.6929433</v>
      </c>
      <c r="AQ94" s="49"/>
    </row>
    <row r="95" spans="36:43" ht="13.5" thickBot="1" x14ac:dyDescent="0.25">
      <c r="AJ95" s="54">
        <v>29</v>
      </c>
      <c r="AK95" s="53">
        <v>9.0988701916813408</v>
      </c>
      <c r="AL95" s="53">
        <v>9.5274614730520568E-3</v>
      </c>
      <c r="AM95" s="52">
        <f t="shared" si="34"/>
        <v>2.2134299605645603E-4</v>
      </c>
      <c r="AN95" s="51">
        <f t="shared" si="32"/>
        <v>9.0772522120491269E-5</v>
      </c>
      <c r="AO95" s="41"/>
      <c r="AP95" s="50">
        <f t="shared" si="33"/>
        <v>1255654599.0963657</v>
      </c>
      <c r="AQ95" s="49"/>
    </row>
    <row r="96" spans="36:43" ht="13.5" thickBot="1" x14ac:dyDescent="0.25"/>
    <row r="97" spans="36:47" x14ac:dyDescent="0.2">
      <c r="AJ97" s="48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6"/>
    </row>
    <row r="98" spans="36:47" x14ac:dyDescent="0.2">
      <c r="AJ98" s="45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3"/>
    </row>
    <row r="99" spans="36:47" x14ac:dyDescent="0.2">
      <c r="AJ99" s="45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3"/>
    </row>
    <row r="100" spans="36:47" x14ac:dyDescent="0.2">
      <c r="AJ100" s="45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3"/>
    </row>
    <row r="101" spans="36:47" x14ac:dyDescent="0.2">
      <c r="AJ101" s="45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3"/>
    </row>
    <row r="102" spans="36:47" x14ac:dyDescent="0.2">
      <c r="AJ102" s="45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3"/>
    </row>
    <row r="103" spans="36:47" x14ac:dyDescent="0.2">
      <c r="AJ103" s="45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3"/>
    </row>
    <row r="104" spans="36:47" x14ac:dyDescent="0.2">
      <c r="AJ104" s="45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3"/>
    </row>
    <row r="105" spans="36:47" x14ac:dyDescent="0.2">
      <c r="AJ105" s="45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3"/>
    </row>
    <row r="106" spans="36:47" x14ac:dyDescent="0.2">
      <c r="AJ106" s="45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3"/>
    </row>
    <row r="107" spans="36:47" x14ac:dyDescent="0.2">
      <c r="AJ107" s="45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3"/>
    </row>
    <row r="108" spans="36:47" x14ac:dyDescent="0.2">
      <c r="AJ108" s="45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3"/>
    </row>
    <row r="109" spans="36:47" x14ac:dyDescent="0.2">
      <c r="AJ109" s="45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3"/>
    </row>
    <row r="110" spans="36:47" x14ac:dyDescent="0.2">
      <c r="AJ110" s="45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3"/>
    </row>
    <row r="111" spans="36:47" x14ac:dyDescent="0.2">
      <c r="AJ111" s="45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3"/>
    </row>
    <row r="112" spans="36:47" x14ac:dyDescent="0.2">
      <c r="AJ112" s="45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3"/>
    </row>
    <row r="113" spans="36:47" x14ac:dyDescent="0.2">
      <c r="AJ113" s="45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3"/>
    </row>
    <row r="114" spans="36:47" x14ac:dyDescent="0.2">
      <c r="AJ114" s="45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3"/>
    </row>
    <row r="115" spans="36:47" x14ac:dyDescent="0.2">
      <c r="AJ115" s="45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3"/>
    </row>
    <row r="116" spans="36:47" x14ac:dyDescent="0.2">
      <c r="AJ116" s="45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3"/>
    </row>
    <row r="117" spans="36:47" x14ac:dyDescent="0.2">
      <c r="AJ117" s="45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3"/>
    </row>
    <row r="118" spans="36:47" x14ac:dyDescent="0.2">
      <c r="AJ118" s="45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3"/>
    </row>
    <row r="119" spans="36:47" x14ac:dyDescent="0.2">
      <c r="AJ119" s="45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3"/>
    </row>
    <row r="120" spans="36:47" x14ac:dyDescent="0.2">
      <c r="AJ120" s="45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3"/>
    </row>
    <row r="121" spans="36:47" x14ac:dyDescent="0.2">
      <c r="AJ121" s="45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3"/>
    </row>
    <row r="122" spans="36:47" x14ac:dyDescent="0.2">
      <c r="AJ122" s="45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3"/>
    </row>
    <row r="123" spans="36:47" x14ac:dyDescent="0.2">
      <c r="AJ123" s="45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3"/>
    </row>
    <row r="124" spans="36:47" x14ac:dyDescent="0.2">
      <c r="AJ124" s="45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3"/>
    </row>
    <row r="125" spans="36:47" x14ac:dyDescent="0.2">
      <c r="AJ125" s="45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3"/>
    </row>
    <row r="126" spans="36:47" x14ac:dyDescent="0.2">
      <c r="AJ126" s="45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3"/>
    </row>
    <row r="127" spans="36:47" x14ac:dyDescent="0.2">
      <c r="AJ127" s="45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3"/>
    </row>
    <row r="128" spans="36:47" x14ac:dyDescent="0.2">
      <c r="AJ128" s="45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3"/>
    </row>
    <row r="129" spans="36:47" x14ac:dyDescent="0.2">
      <c r="AJ129" s="45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3"/>
    </row>
    <row r="130" spans="36:47" x14ac:dyDescent="0.2">
      <c r="AJ130" s="45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3"/>
    </row>
    <row r="131" spans="36:47" x14ac:dyDescent="0.2">
      <c r="AJ131" s="45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3"/>
    </row>
    <row r="132" spans="36:47" x14ac:dyDescent="0.2">
      <c r="AJ132" s="45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3"/>
    </row>
    <row r="133" spans="36:47" x14ac:dyDescent="0.2">
      <c r="AJ133" s="45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3"/>
    </row>
    <row r="134" spans="36:47" x14ac:dyDescent="0.2">
      <c r="AJ134" s="45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3"/>
    </row>
    <row r="135" spans="36:47" x14ac:dyDescent="0.2">
      <c r="AJ135" s="45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3"/>
    </row>
    <row r="136" spans="36:47" x14ac:dyDescent="0.2">
      <c r="AJ136" s="45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3"/>
    </row>
    <row r="137" spans="36:47" x14ac:dyDescent="0.2">
      <c r="AJ137" s="45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3"/>
    </row>
    <row r="138" spans="36:47" x14ac:dyDescent="0.2">
      <c r="AJ138" s="45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3"/>
    </row>
    <row r="139" spans="36:47" x14ac:dyDescent="0.2">
      <c r="AJ139" s="45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3"/>
    </row>
    <row r="140" spans="36:47" ht="13.5" thickBot="1" x14ac:dyDescent="0.25">
      <c r="AJ140" s="42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0"/>
    </row>
  </sheetData>
  <mergeCells count="3">
    <mergeCell ref="X12:AB12"/>
    <mergeCell ref="AX42:AZ42"/>
    <mergeCell ref="AM64:AN6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96"/>
  <sheetViews>
    <sheetView workbookViewId="0">
      <selection activeCell="A2" sqref="A2:G35"/>
    </sheetView>
  </sheetViews>
  <sheetFormatPr defaultRowHeight="12.75" x14ac:dyDescent="0.2"/>
  <cols>
    <col min="4" max="5" width="10.28515625" bestFit="1" customWidth="1"/>
    <col min="18" max="18" width="10.140625" bestFit="1" customWidth="1"/>
    <col min="21" max="22" width="10.28515625" bestFit="1" customWidth="1"/>
    <col min="27" max="27" width="10" customWidth="1"/>
    <col min="28" max="28" width="10.28515625" bestFit="1" customWidth="1"/>
    <col min="29" max="29" width="18.7109375" bestFit="1" customWidth="1"/>
    <col min="30" max="30" width="28.28515625" bestFit="1" customWidth="1"/>
    <col min="31" max="31" width="13.7109375" bestFit="1" customWidth="1"/>
    <col min="32" max="32" width="12.5703125" bestFit="1" customWidth="1"/>
    <col min="33" max="33" width="12" bestFit="1" customWidth="1"/>
    <col min="34" max="37" width="12.5703125" bestFit="1" customWidth="1"/>
    <col min="40" max="40" width="21.5703125" bestFit="1" customWidth="1"/>
    <col min="41" max="41" width="10.140625" customWidth="1"/>
    <col min="42" max="42" width="13.7109375" bestFit="1" customWidth="1"/>
    <col min="43" max="43" width="21.5703125" bestFit="1" customWidth="1"/>
    <col min="44" max="48" width="12.5703125" bestFit="1" customWidth="1"/>
    <col min="49" max="49" width="9.85546875" bestFit="1" customWidth="1"/>
    <col min="61" max="61" width="21.5703125" bestFit="1" customWidth="1"/>
    <col min="62" max="62" width="27.5703125" customWidth="1"/>
    <col min="63" max="63" width="13.7109375" bestFit="1" customWidth="1"/>
    <col min="64" max="64" width="7.5703125" bestFit="1" customWidth="1"/>
    <col min="65" max="65" width="8.5703125" bestFit="1" customWidth="1"/>
    <col min="66" max="66" width="13.5703125" bestFit="1" customWidth="1"/>
    <col min="67" max="67" width="10.7109375" bestFit="1" customWidth="1"/>
    <col min="68" max="68" width="12.140625" bestFit="1" customWidth="1"/>
    <col min="69" max="69" width="12.28515625" bestFit="1" customWidth="1"/>
  </cols>
  <sheetData>
    <row r="1" spans="1:49" ht="13.5" thickBot="1" x14ac:dyDescent="0.25">
      <c r="D1" s="1">
        <v>1000000</v>
      </c>
    </row>
    <row r="2" spans="1:49" ht="13.5" thickBot="1" x14ac:dyDescent="0.25">
      <c r="A2" s="229" t="s">
        <v>100</v>
      </c>
      <c r="B2" s="230"/>
      <c r="C2" s="230"/>
      <c r="D2" s="230"/>
      <c r="E2" s="230"/>
      <c r="F2" s="230"/>
      <c r="G2" s="231"/>
      <c r="M2" s="232" t="str">
        <f>PIT!G3</f>
        <v>PIT Per Person</v>
      </c>
      <c r="N2" s="233"/>
      <c r="O2" s="234"/>
      <c r="Y2" s="14" t="s">
        <v>101</v>
      </c>
      <c r="Z2" s="14" t="s">
        <v>101</v>
      </c>
    </row>
    <row r="3" spans="1:49" ht="51" x14ac:dyDescent="0.2">
      <c r="A3" s="194" t="s">
        <v>3</v>
      </c>
      <c r="B3" s="195" t="s">
        <v>102</v>
      </c>
      <c r="C3" s="195" t="s">
        <v>103</v>
      </c>
      <c r="D3" s="196" t="s">
        <v>104</v>
      </c>
      <c r="E3" s="196" t="s">
        <v>105</v>
      </c>
      <c r="F3" s="196" t="s">
        <v>77</v>
      </c>
      <c r="G3" s="197" t="s">
        <v>106</v>
      </c>
      <c r="M3" s="211" t="s">
        <v>107</v>
      </c>
      <c r="N3" s="212" t="s">
        <v>31</v>
      </c>
      <c r="O3" s="213" t="s">
        <v>108</v>
      </c>
      <c r="S3" s="139" t="s">
        <v>109</v>
      </c>
      <c r="T3" s="139" t="str">
        <f>F3</f>
        <v>Population</v>
      </c>
      <c r="U3" s="139" t="s">
        <v>110</v>
      </c>
      <c r="V3" s="139" t="s">
        <v>111</v>
      </c>
      <c r="W3" s="139"/>
      <c r="X3" s="139" t="s">
        <v>3</v>
      </c>
      <c r="Y3" s="139" t="str">
        <f>"Log "&amp;U3</f>
        <v>Log Real PCI</v>
      </c>
      <c r="Z3" s="139" t="str">
        <f>"Log "&amp;T3</f>
        <v>Log Population</v>
      </c>
      <c r="AA3" s="139" t="str">
        <f>"Log "&amp;V3</f>
        <v>Log Real PIT $M</v>
      </c>
      <c r="AB3" s="139" t="s">
        <v>112</v>
      </c>
      <c r="AO3" s="140" t="str">
        <f>X3</f>
        <v>Year</v>
      </c>
      <c r="AP3" s="141" t="str">
        <f>Y3&amp;" Adjusted"</f>
        <v>Log Real PCI Adjusted</v>
      </c>
      <c r="AQ3" s="141" t="str">
        <f>Z3&amp;" Adjusted"</f>
        <v>Log Population Adjusted</v>
      </c>
      <c r="AR3" s="141" t="s">
        <v>113</v>
      </c>
      <c r="AS3" s="141" t="str">
        <f>AA3&amp;" Adjusted"</f>
        <v>Log Real PIT $M Adjusted</v>
      </c>
      <c r="AT3" s="141" t="s">
        <v>74</v>
      </c>
      <c r="AU3" s="141" t="s">
        <v>114</v>
      </c>
      <c r="AV3" s="142" t="s">
        <v>73</v>
      </c>
    </row>
    <row r="4" spans="1:49" x14ac:dyDescent="0.2">
      <c r="A4" s="152">
        <v>1980</v>
      </c>
      <c r="B4" s="198">
        <v>82.4</v>
      </c>
      <c r="C4" s="199">
        <f t="shared" ref="C4:C35" si="0">B$35/B4</f>
        <v>2.7298422330097085</v>
      </c>
      <c r="D4" s="200">
        <v>879.29471799999999</v>
      </c>
      <c r="E4" s="201">
        <f t="shared" ref="E4:E35" si="1">D4*C4</f>
        <v>2400.335856458762</v>
      </c>
      <c r="F4" s="202">
        <v>7071639</v>
      </c>
      <c r="G4" s="203">
        <f t="shared" ref="G4:G35" si="2">E4/F4*D$1</f>
        <v>339.43133359306972</v>
      </c>
      <c r="M4" s="31">
        <v>339.43133359306972</v>
      </c>
      <c r="N4" s="36"/>
      <c r="O4" s="30"/>
      <c r="R4" s="149">
        <v>29221</v>
      </c>
      <c r="S4" s="150">
        <v>10985</v>
      </c>
      <c r="T4" s="147">
        <f>F4</f>
        <v>7071639</v>
      </c>
      <c r="U4" s="16">
        <f t="shared" ref="U4:U35" si="3">S4*C4</f>
        <v>29987.316929611647</v>
      </c>
      <c r="V4" s="16">
        <f>E4</f>
        <v>2400.335856458762</v>
      </c>
      <c r="W4" s="16"/>
      <c r="X4" s="143">
        <f t="shared" ref="X4:X33" si="4">A6</f>
        <v>1982</v>
      </c>
      <c r="Y4">
        <f>LOG(U4)</f>
        <v>4.476937609647762</v>
      </c>
      <c r="Z4">
        <f t="shared" ref="Z4:Z35" si="5">LOG(T4)</f>
        <v>6.8495200822779756</v>
      </c>
      <c r="AA4">
        <f>LOG(V6)</f>
        <v>3.4317746635485196</v>
      </c>
      <c r="AB4" s="151">
        <f>10^AA4</f>
        <v>2702.5557620364066</v>
      </c>
      <c r="AJ4" s="148"/>
      <c r="AO4" s="152">
        <f>X5</f>
        <v>1983</v>
      </c>
      <c r="AP4" s="153">
        <f t="shared" ref="AP4:AQ34" si="6">Y5-Y4*$AH$63</f>
        <v>2.1664486867506687</v>
      </c>
      <c r="AQ4" s="153">
        <f t="shared" si="6"/>
        <v>3.3071866244387991</v>
      </c>
      <c r="AR4" s="36">
        <v>0</v>
      </c>
      <c r="AS4" s="153">
        <f t="shared" ref="AS4:AS32" si="7">AA5-AA4*$AH$63</f>
        <v>1.7030202446382379</v>
      </c>
      <c r="AT4" s="36">
        <f>$AR$36+$AR$37*AP4+$AR$38*AQ4+$AR$39*AR4</f>
        <v>1.6953261888925883</v>
      </c>
      <c r="AU4" s="36">
        <f t="shared" ref="AU4:AU34" si="8">AT4/(1-$AH$63)</f>
        <v>3.5115607066435337</v>
      </c>
      <c r="AV4" s="154">
        <f t="shared" ref="AV4:AV34" si="9">10^AU4</f>
        <v>3247.5863447564848</v>
      </c>
      <c r="AW4" s="16"/>
    </row>
    <row r="5" spans="1:49" x14ac:dyDescent="0.2">
      <c r="A5" s="152">
        <v>1981</v>
      </c>
      <c r="B5" s="198">
        <v>90.9</v>
      </c>
      <c r="C5" s="199">
        <f t="shared" si="0"/>
        <v>2.4745764576457643</v>
      </c>
      <c r="D5" s="200">
        <v>1018.51757</v>
      </c>
      <c r="E5" s="201">
        <f t="shared" si="1"/>
        <v>2520.3996004205719</v>
      </c>
      <c r="F5" s="202">
        <v>7077279</v>
      </c>
      <c r="G5" s="203">
        <f t="shared" si="2"/>
        <v>356.12551100791308</v>
      </c>
      <c r="M5" s="31">
        <v>356.12551100791308</v>
      </c>
      <c r="N5" s="214">
        <f t="shared" ref="N5:N35" si="10">M5-M4</f>
        <v>16.694177414843352</v>
      </c>
      <c r="O5" s="215">
        <f t="shared" ref="O5:O35" si="11">N5/M4</f>
        <v>4.918278238525061E-2</v>
      </c>
      <c r="R5" s="149">
        <v>29587</v>
      </c>
      <c r="S5" s="150">
        <v>12260</v>
      </c>
      <c r="T5" s="147">
        <f t="shared" ref="T5:T35" si="12">F5</f>
        <v>7077279</v>
      </c>
      <c r="U5" s="16">
        <f t="shared" si="3"/>
        <v>30338.307370737071</v>
      </c>
      <c r="V5" s="16">
        <f t="shared" ref="V5:V35" si="13">E5</f>
        <v>2520.3996004205719</v>
      </c>
      <c r="W5" s="16"/>
      <c r="X5" s="143">
        <f t="shared" si="4"/>
        <v>1983</v>
      </c>
      <c r="Y5">
        <f t="shared" ref="Y5:Y35" si="14">LOG(U5)</f>
        <v>4.4819913470487771</v>
      </c>
      <c r="Z5">
        <f t="shared" si="5"/>
        <v>6.8498663166695621</v>
      </c>
      <c r="AA5">
        <f t="shared" ref="AA5:AA33" si="15">LOG(V7)</f>
        <v>3.4779881639704877</v>
      </c>
      <c r="AB5" s="151">
        <f t="shared" ref="AB5:AB33" si="16">10^AA5</f>
        <v>3005.9943777489607</v>
      </c>
      <c r="AJ5" s="148"/>
      <c r="AO5" s="152">
        <f t="shared" ref="AO5:AO34" si="17">X6</f>
        <v>1984</v>
      </c>
      <c r="AP5" s="153">
        <f t="shared" si="6"/>
        <v>2.1739177421485683</v>
      </c>
      <c r="AQ5" s="153">
        <f t="shared" si="6"/>
        <v>3.3076863833651537</v>
      </c>
      <c r="AR5" s="36">
        <v>0</v>
      </c>
      <c r="AS5" s="153">
        <f t="shared" si="7"/>
        <v>1.7259679231867122</v>
      </c>
      <c r="AT5" s="36">
        <f t="shared" ref="AT5:AT34" si="18">$AR$36+$AR$37*AP5+$AR$38*AQ5+$AR$39*AR5</f>
        <v>1.7071965825661337</v>
      </c>
      <c r="AU5" s="36">
        <f t="shared" si="8"/>
        <v>3.5361480741186035</v>
      </c>
      <c r="AV5" s="154">
        <f t="shared" si="9"/>
        <v>3436.7510507300121</v>
      </c>
      <c r="AW5" s="16"/>
    </row>
    <row r="6" spans="1:49" x14ac:dyDescent="0.2">
      <c r="A6" s="152">
        <v>1982</v>
      </c>
      <c r="B6" s="198">
        <v>96.5</v>
      </c>
      <c r="C6" s="199">
        <f t="shared" si="0"/>
        <v>2.3309740932642486</v>
      </c>
      <c r="D6" s="200">
        <v>1159.4104669999999</v>
      </c>
      <c r="E6" s="201">
        <f t="shared" si="1"/>
        <v>2702.5557620364038</v>
      </c>
      <c r="F6" s="202">
        <v>7088350</v>
      </c>
      <c r="G6" s="203">
        <f t="shared" si="2"/>
        <v>381.26725712421137</v>
      </c>
      <c r="M6" s="31">
        <v>381.26725712421137</v>
      </c>
      <c r="N6" s="214">
        <f t="shared" si="10"/>
        <v>25.141746116298293</v>
      </c>
      <c r="O6" s="215">
        <f t="shared" si="11"/>
        <v>7.0597992390777214E-2</v>
      </c>
      <c r="R6" s="149">
        <v>29952</v>
      </c>
      <c r="S6" s="150">
        <v>13321</v>
      </c>
      <c r="T6" s="147">
        <f t="shared" si="12"/>
        <v>7088350</v>
      </c>
      <c r="U6" s="16">
        <f t="shared" si="3"/>
        <v>31050.905896373057</v>
      </c>
      <c r="V6" s="16">
        <f t="shared" si="13"/>
        <v>2702.5557620364038</v>
      </c>
      <c r="W6" s="16"/>
      <c r="X6" s="143">
        <f t="shared" si="4"/>
        <v>1984</v>
      </c>
      <c r="Y6">
        <f t="shared" si="14"/>
        <v>4.4920742750458338</v>
      </c>
      <c r="Z6">
        <f t="shared" si="5"/>
        <v>6.8505451534777375</v>
      </c>
      <c r="AA6">
        <f t="shared" si="15"/>
        <v>3.5248381929734709</v>
      </c>
      <c r="AB6" s="151">
        <f t="shared" si="16"/>
        <v>3348.4066284017072</v>
      </c>
      <c r="AJ6" s="148"/>
      <c r="AO6" s="152">
        <f t="shared" si="17"/>
        <v>1985</v>
      </c>
      <c r="AP6" s="153">
        <f t="shared" si="6"/>
        <v>2.1847665008056119</v>
      </c>
      <c r="AQ6" s="153">
        <f t="shared" si="6"/>
        <v>3.3111052775745557</v>
      </c>
      <c r="AR6" s="36">
        <v>0</v>
      </c>
      <c r="AS6" s="153">
        <f t="shared" si="7"/>
        <v>1.7376643791797122</v>
      </c>
      <c r="AT6" s="36">
        <f t="shared" si="18"/>
        <v>1.7341493046559737</v>
      </c>
      <c r="AU6" s="36">
        <f t="shared" si="8"/>
        <v>3.5919757493163718</v>
      </c>
      <c r="AV6" s="154">
        <f t="shared" si="9"/>
        <v>3908.1907213429445</v>
      </c>
      <c r="AW6" s="16"/>
    </row>
    <row r="7" spans="1:49" x14ac:dyDescent="0.2">
      <c r="A7" s="152">
        <v>1983</v>
      </c>
      <c r="B7" s="198">
        <v>99.6</v>
      </c>
      <c r="C7" s="199">
        <f t="shared" si="0"/>
        <v>2.2584236947791165</v>
      </c>
      <c r="D7" s="200">
        <v>1331.0143639999999</v>
      </c>
      <c r="E7" s="201">
        <f t="shared" si="1"/>
        <v>3005.9943777489557</v>
      </c>
      <c r="F7" s="202">
        <v>7150150</v>
      </c>
      <c r="G7" s="203">
        <f t="shared" si="2"/>
        <v>420.4099743010924</v>
      </c>
      <c r="M7" s="31">
        <v>420.4099743010924</v>
      </c>
      <c r="N7" s="214">
        <f t="shared" si="10"/>
        <v>39.142717176881035</v>
      </c>
      <c r="O7" s="215">
        <f t="shared" si="11"/>
        <v>0.10266477502454113</v>
      </c>
      <c r="R7" s="149">
        <v>30317</v>
      </c>
      <c r="S7" s="150">
        <v>14267</v>
      </c>
      <c r="T7" s="147">
        <f t="shared" si="12"/>
        <v>7150150</v>
      </c>
      <c r="U7" s="16">
        <f t="shared" si="3"/>
        <v>32220.930853413654</v>
      </c>
      <c r="V7" s="16">
        <f t="shared" si="13"/>
        <v>3005.9943777489557</v>
      </c>
      <c r="W7" s="16"/>
      <c r="X7" s="143">
        <f t="shared" si="4"/>
        <v>1985</v>
      </c>
      <c r="Y7">
        <f t="shared" si="14"/>
        <v>4.5081380829069548</v>
      </c>
      <c r="Z7">
        <f t="shared" si="5"/>
        <v>6.8543151527785584</v>
      </c>
      <c r="AA7">
        <f t="shared" si="15"/>
        <v>3.5607662220307974</v>
      </c>
      <c r="AB7" s="151">
        <f t="shared" si="16"/>
        <v>3637.1919568251433</v>
      </c>
      <c r="AJ7" s="148"/>
      <c r="AO7" s="152">
        <f t="shared" si="17"/>
        <v>1986</v>
      </c>
      <c r="AP7" s="153">
        <f t="shared" si="6"/>
        <v>2.2004150627258143</v>
      </c>
      <c r="AQ7" s="153">
        <f t="shared" si="6"/>
        <v>3.3120687766775738</v>
      </c>
      <c r="AR7" s="36">
        <v>0</v>
      </c>
      <c r="AS7" s="153">
        <f t="shared" si="7"/>
        <v>1.7295888183738135</v>
      </c>
      <c r="AT7" s="36">
        <f t="shared" si="18"/>
        <v>1.7587178912345731</v>
      </c>
      <c r="AU7" s="36">
        <f t="shared" si="8"/>
        <v>3.6428651202306113</v>
      </c>
      <c r="AV7" s="154">
        <f t="shared" si="9"/>
        <v>4394.0512725072367</v>
      </c>
      <c r="AW7" s="16"/>
    </row>
    <row r="8" spans="1:49" x14ac:dyDescent="0.2">
      <c r="A8" s="152">
        <v>1984</v>
      </c>
      <c r="B8" s="198">
        <v>103.9</v>
      </c>
      <c r="C8" s="199">
        <f t="shared" si="0"/>
        <v>2.1649566891241578</v>
      </c>
      <c r="D8" s="200">
        <v>1546.639083</v>
      </c>
      <c r="E8" s="201">
        <f t="shared" si="1"/>
        <v>3348.4066284017035</v>
      </c>
      <c r="F8" s="202">
        <v>7198277</v>
      </c>
      <c r="G8" s="203">
        <f t="shared" si="2"/>
        <v>465.16779340413035</v>
      </c>
      <c r="M8" s="31">
        <v>465.16779340413035</v>
      </c>
      <c r="N8" s="214">
        <f t="shared" si="10"/>
        <v>44.757819103037946</v>
      </c>
      <c r="O8" s="215">
        <f t="shared" si="11"/>
        <v>0.10646231497586438</v>
      </c>
      <c r="R8" s="149">
        <v>30682</v>
      </c>
      <c r="S8" s="150">
        <v>15727</v>
      </c>
      <c r="T8" s="147">
        <f t="shared" si="12"/>
        <v>7198277</v>
      </c>
      <c r="U8" s="16">
        <f t="shared" si="3"/>
        <v>34048.273849855628</v>
      </c>
      <c r="V8" s="16">
        <f t="shared" si="13"/>
        <v>3348.4066284017035</v>
      </c>
      <c r="W8" s="16"/>
      <c r="X8" s="143">
        <f t="shared" si="4"/>
        <v>1986</v>
      </c>
      <c r="Y8">
        <f t="shared" si="14"/>
        <v>4.5320950993182585</v>
      </c>
      <c r="Z8">
        <f t="shared" si="5"/>
        <v>6.8572285549116145</v>
      </c>
      <c r="AA8">
        <f t="shared" si="15"/>
        <v>3.5712732038547959</v>
      </c>
      <c r="AB8" s="151">
        <f t="shared" si="16"/>
        <v>3726.2604231289934</v>
      </c>
      <c r="AJ8" s="148"/>
      <c r="AO8" s="152">
        <f t="shared" si="17"/>
        <v>1987</v>
      </c>
      <c r="AP8" s="153">
        <f t="shared" si="6"/>
        <v>2.2004814319444139</v>
      </c>
      <c r="AQ8" s="153">
        <f t="shared" si="6"/>
        <v>3.312638619616604</v>
      </c>
      <c r="AR8" s="36">
        <v>0</v>
      </c>
      <c r="AS8" s="153">
        <f t="shared" si="7"/>
        <v>1.7846578586268618</v>
      </c>
      <c r="AT8" s="36">
        <f t="shared" si="18"/>
        <v>1.7608622307998836</v>
      </c>
      <c r="AU8" s="36">
        <f t="shared" si="8"/>
        <v>3.6473067307056808</v>
      </c>
      <c r="AV8" s="154">
        <f t="shared" si="9"/>
        <v>4439.2206365039956</v>
      </c>
      <c r="AW8" s="16"/>
    </row>
    <row r="9" spans="1:49" x14ac:dyDescent="0.2">
      <c r="A9" s="152">
        <v>1985</v>
      </c>
      <c r="B9" s="198">
        <v>107.6</v>
      </c>
      <c r="C9" s="199">
        <f t="shared" si="0"/>
        <v>2.0905111524163571</v>
      </c>
      <c r="D9" s="200">
        <v>1739.8577150000001</v>
      </c>
      <c r="E9" s="201">
        <f t="shared" si="1"/>
        <v>3637.1919568251401</v>
      </c>
      <c r="F9" s="202">
        <v>7232780</v>
      </c>
      <c r="G9" s="203">
        <f t="shared" si="2"/>
        <v>502.87606657815388</v>
      </c>
      <c r="M9" s="31">
        <v>502.87606657815388</v>
      </c>
      <c r="N9" s="214">
        <f t="shared" si="10"/>
        <v>37.708273174023532</v>
      </c>
      <c r="O9" s="215">
        <f t="shared" si="11"/>
        <v>8.1063809035599302E-2</v>
      </c>
      <c r="R9" s="149">
        <v>31048</v>
      </c>
      <c r="S9" s="150">
        <v>16761</v>
      </c>
      <c r="T9" s="147">
        <f t="shared" si="12"/>
        <v>7232780</v>
      </c>
      <c r="U9" s="16">
        <f t="shared" si="3"/>
        <v>35039.057425650564</v>
      </c>
      <c r="V9" s="16">
        <f t="shared" si="13"/>
        <v>3637.1919568251401</v>
      </c>
      <c r="W9" s="16"/>
      <c r="X9" s="143">
        <f t="shared" si="4"/>
        <v>1987</v>
      </c>
      <c r="Y9">
        <f t="shared" si="14"/>
        <v>4.5445524148378054</v>
      </c>
      <c r="Z9">
        <f t="shared" si="5"/>
        <v>6.8593052553308915</v>
      </c>
      <c r="AA9">
        <f t="shared" si="15"/>
        <v>3.6317766206316571</v>
      </c>
      <c r="AB9" s="151">
        <f t="shared" si="16"/>
        <v>4283.281531422258</v>
      </c>
      <c r="AJ9" s="148"/>
      <c r="AO9" s="152">
        <f t="shared" si="17"/>
        <v>1988</v>
      </c>
      <c r="AP9" s="153">
        <f t="shared" si="6"/>
        <v>2.2129645127822042</v>
      </c>
      <c r="AQ9" s="153">
        <f t="shared" si="6"/>
        <v>3.314207340022334</v>
      </c>
      <c r="AR9" s="36">
        <v>0</v>
      </c>
      <c r="AS9" s="153">
        <f t="shared" si="7"/>
        <v>1.7204967060537706</v>
      </c>
      <c r="AT9" s="36">
        <f t="shared" si="18"/>
        <v>1.7833462164611475</v>
      </c>
      <c r="AU9" s="36">
        <f t="shared" si="8"/>
        <v>3.6938782289188978</v>
      </c>
      <c r="AV9" s="154">
        <f t="shared" si="9"/>
        <v>4941.7210749439209</v>
      </c>
      <c r="AW9" s="16"/>
    </row>
    <row r="10" spans="1:49" x14ac:dyDescent="0.2">
      <c r="A10" s="152">
        <v>1986</v>
      </c>
      <c r="B10" s="198">
        <v>109.6</v>
      </c>
      <c r="C10" s="199">
        <f t="shared" si="0"/>
        <v>2.0523631386861316</v>
      </c>
      <c r="D10" s="200">
        <v>1815.5950829999999</v>
      </c>
      <c r="E10" s="201">
        <f t="shared" si="1"/>
        <v>3726.2604231289874</v>
      </c>
      <c r="F10" s="202">
        <v>7276928</v>
      </c>
      <c r="G10" s="203">
        <f t="shared" si="2"/>
        <v>512.06503941347057</v>
      </c>
      <c r="M10" s="31">
        <v>512.06503941347057</v>
      </c>
      <c r="N10" s="214">
        <f t="shared" si="10"/>
        <v>9.1889728353166902</v>
      </c>
      <c r="O10" s="215">
        <f t="shared" si="11"/>
        <v>1.827283787403829E-2</v>
      </c>
      <c r="R10" s="149">
        <v>31413</v>
      </c>
      <c r="S10" s="150">
        <v>17833</v>
      </c>
      <c r="T10" s="147">
        <f t="shared" si="12"/>
        <v>7276928</v>
      </c>
      <c r="U10" s="16">
        <f t="shared" si="3"/>
        <v>36599.791852189788</v>
      </c>
      <c r="V10" s="16">
        <f t="shared" si="13"/>
        <v>3726.2604231289874</v>
      </c>
      <c r="W10" s="16"/>
      <c r="X10" s="143">
        <f t="shared" si="4"/>
        <v>1988</v>
      </c>
      <c r="Y10">
        <f t="shared" si="14"/>
        <v>4.5634786155118299</v>
      </c>
      <c r="Z10">
        <f t="shared" si="5"/>
        <v>6.8619480779093056</v>
      </c>
      <c r="AA10">
        <f t="shared" si="15"/>
        <v>3.5989087883716988</v>
      </c>
      <c r="AB10" s="151">
        <f t="shared" si="16"/>
        <v>3971.0813905242917</v>
      </c>
      <c r="AJ10" s="148"/>
      <c r="AO10" s="152">
        <f t="shared" si="17"/>
        <v>1989</v>
      </c>
      <c r="AP10" s="153">
        <f t="shared" si="6"/>
        <v>2.2146338391357134</v>
      </c>
      <c r="AQ10" s="153">
        <f t="shared" si="6"/>
        <v>3.3137647407725388</v>
      </c>
      <c r="AR10" s="36">
        <v>0</v>
      </c>
      <c r="AS10" s="153">
        <f t="shared" si="7"/>
        <v>1.7855376346334031</v>
      </c>
      <c r="AT10" s="36">
        <f t="shared" si="18"/>
        <v>1.7840004301662979</v>
      </c>
      <c r="AU10" s="36">
        <f t="shared" si="8"/>
        <v>3.6952333139496165</v>
      </c>
      <c r="AV10" s="154">
        <f t="shared" si="9"/>
        <v>4957.1643065269882</v>
      </c>
      <c r="AW10" s="16"/>
    </row>
    <row r="11" spans="1:49" x14ac:dyDescent="0.2">
      <c r="A11" s="152">
        <v>1987</v>
      </c>
      <c r="B11" s="198">
        <v>113.6</v>
      </c>
      <c r="C11" s="199">
        <f t="shared" si="0"/>
        <v>1.9800968309859155</v>
      </c>
      <c r="D11" s="200">
        <v>2163.1677119999999</v>
      </c>
      <c r="E11" s="201">
        <f t="shared" si="1"/>
        <v>4283.2815314222535</v>
      </c>
      <c r="F11" s="202">
        <v>7292432</v>
      </c>
      <c r="G11" s="203">
        <f t="shared" si="2"/>
        <v>587.35981787999583</v>
      </c>
      <c r="M11" s="31">
        <v>587.35981787999583</v>
      </c>
      <c r="N11" s="214">
        <f t="shared" si="10"/>
        <v>75.294778466525258</v>
      </c>
      <c r="O11" s="215">
        <f t="shared" si="11"/>
        <v>0.14704143550352392</v>
      </c>
      <c r="R11" s="149">
        <v>31778</v>
      </c>
      <c r="S11" s="150">
        <v>18978</v>
      </c>
      <c r="T11" s="147">
        <f t="shared" si="12"/>
        <v>7292432</v>
      </c>
      <c r="U11" s="16">
        <f t="shared" si="3"/>
        <v>37578.277658450701</v>
      </c>
      <c r="V11" s="16">
        <f t="shared" si="13"/>
        <v>4283.2815314222535</v>
      </c>
      <c r="W11" s="16"/>
      <c r="X11" s="143">
        <f t="shared" si="4"/>
        <v>1989</v>
      </c>
      <c r="Y11">
        <f t="shared" si="14"/>
        <v>4.5749368710127154</v>
      </c>
      <c r="Z11">
        <f t="shared" si="5"/>
        <v>6.8628723881314517</v>
      </c>
      <c r="AA11">
        <f t="shared" si="15"/>
        <v>3.6469499563146304</v>
      </c>
      <c r="AB11" s="151">
        <f t="shared" si="16"/>
        <v>4435.5752992161279</v>
      </c>
      <c r="AJ11" s="148"/>
      <c r="AO11" s="152">
        <f t="shared" si="17"/>
        <v>1990</v>
      </c>
      <c r="AP11" s="153">
        <f t="shared" si="6"/>
        <v>2.2292403444009783</v>
      </c>
      <c r="AQ11" s="153">
        <f t="shared" si="6"/>
        <v>3.3131346642116091</v>
      </c>
      <c r="AR11" s="36">
        <v>0</v>
      </c>
      <c r="AS11" s="153">
        <f t="shared" si="7"/>
        <v>1.7539461437154358</v>
      </c>
      <c r="AT11" s="36">
        <f t="shared" si="18"/>
        <v>1.8014178387702504</v>
      </c>
      <c r="AU11" s="36">
        <f t="shared" si="8"/>
        <v>3.7313103167505624</v>
      </c>
      <c r="AV11" s="154">
        <f t="shared" si="9"/>
        <v>5386.5453025434199</v>
      </c>
      <c r="AW11" s="16"/>
    </row>
    <row r="12" spans="1:49" x14ac:dyDescent="0.2">
      <c r="A12" s="152">
        <v>1988</v>
      </c>
      <c r="B12" s="198">
        <v>118.3</v>
      </c>
      <c r="C12" s="199">
        <f t="shared" si="0"/>
        <v>1.9014285714285715</v>
      </c>
      <c r="D12" s="200">
        <v>2088.4725570000001</v>
      </c>
      <c r="E12" s="201">
        <f t="shared" si="1"/>
        <v>3971.0813905242858</v>
      </c>
      <c r="F12" s="202">
        <v>7289880</v>
      </c>
      <c r="G12" s="203">
        <f t="shared" si="2"/>
        <v>544.73892444378862</v>
      </c>
      <c r="M12" s="31">
        <v>544.73892444378862</v>
      </c>
      <c r="N12" s="214">
        <f t="shared" si="10"/>
        <v>-42.620893436207211</v>
      </c>
      <c r="O12" s="215">
        <f t="shared" si="11"/>
        <v>-7.256351581904627E-2</v>
      </c>
      <c r="R12" s="149">
        <v>32143</v>
      </c>
      <c r="S12" s="150">
        <v>20720</v>
      </c>
      <c r="T12" s="147">
        <f t="shared" si="12"/>
        <v>7289880</v>
      </c>
      <c r="U12" s="16">
        <f t="shared" si="3"/>
        <v>39397.599999999999</v>
      </c>
      <c r="V12" s="16">
        <f t="shared" si="13"/>
        <v>3971.0813905242858</v>
      </c>
      <c r="W12" s="16"/>
      <c r="X12" s="143">
        <f t="shared" si="4"/>
        <v>1990</v>
      </c>
      <c r="Y12">
        <f t="shared" si="14"/>
        <v>4.5954697665336139</v>
      </c>
      <c r="Z12">
        <f t="shared" si="5"/>
        <v>6.862720379378775</v>
      </c>
      <c r="AA12">
        <f t="shared" si="15"/>
        <v>3.6402061142856446</v>
      </c>
      <c r="AB12" s="151">
        <f t="shared" si="16"/>
        <v>4367.2304993751031</v>
      </c>
      <c r="AJ12" s="148"/>
      <c r="AO12" s="152">
        <f t="shared" si="17"/>
        <v>1991</v>
      </c>
      <c r="AP12" s="153">
        <f t="shared" si="6"/>
        <v>2.2281858140771469</v>
      </c>
      <c r="AQ12" s="153">
        <f t="shared" si="6"/>
        <v>3.3146334329368381</v>
      </c>
      <c r="AR12" s="36">
        <v>0</v>
      </c>
      <c r="AS12" s="153">
        <f t="shared" si="7"/>
        <v>1.7819882632782358</v>
      </c>
      <c r="AT12" s="36">
        <f t="shared" si="18"/>
        <v>1.8054009519700323</v>
      </c>
      <c r="AU12" s="36">
        <f t="shared" si="8"/>
        <v>3.7395606132976851</v>
      </c>
      <c r="AV12" s="154">
        <f t="shared" si="9"/>
        <v>5489.8517062510291</v>
      </c>
      <c r="AW12" s="16"/>
    </row>
    <row r="13" spans="1:49" x14ac:dyDescent="0.2">
      <c r="A13" s="152">
        <v>1989</v>
      </c>
      <c r="B13" s="198">
        <v>124</v>
      </c>
      <c r="C13" s="199">
        <f t="shared" si="0"/>
        <v>1.814024193548387</v>
      </c>
      <c r="D13" s="200">
        <v>2445.157741</v>
      </c>
      <c r="E13" s="201">
        <f t="shared" si="1"/>
        <v>4435.5752992161206</v>
      </c>
      <c r="F13" s="202">
        <v>7313757</v>
      </c>
      <c r="G13" s="203">
        <f t="shared" si="2"/>
        <v>606.47014922920198</v>
      </c>
      <c r="M13" s="31">
        <v>606.47014922920198</v>
      </c>
      <c r="N13" s="214">
        <f t="shared" si="10"/>
        <v>61.73122478541336</v>
      </c>
      <c r="O13" s="215">
        <f t="shared" si="11"/>
        <v>0.11332258815256258</v>
      </c>
      <c r="R13" s="149">
        <v>32509</v>
      </c>
      <c r="S13" s="150">
        <v>22202</v>
      </c>
      <c r="T13" s="147">
        <f t="shared" si="12"/>
        <v>7313757</v>
      </c>
      <c r="U13" s="16">
        <f t="shared" si="3"/>
        <v>40274.965145161288</v>
      </c>
      <c r="V13" s="16">
        <f t="shared" si="13"/>
        <v>4435.5752992161206</v>
      </c>
      <c r="W13" s="16"/>
      <c r="X13" s="143">
        <f t="shared" si="4"/>
        <v>1991</v>
      </c>
      <c r="Y13">
        <f t="shared" si="14"/>
        <v>4.6050351732434427</v>
      </c>
      <c r="Z13">
        <f t="shared" si="5"/>
        <v>6.8641405267824105</v>
      </c>
      <c r="AA13">
        <f t="shared" si="15"/>
        <v>3.664760212510203</v>
      </c>
      <c r="AB13" s="151">
        <f t="shared" si="16"/>
        <v>4621.2579692269983</v>
      </c>
      <c r="AJ13" s="148"/>
      <c r="AO13" s="152">
        <f t="shared" si="17"/>
        <v>1992</v>
      </c>
      <c r="AP13" s="153">
        <f t="shared" si="6"/>
        <v>2.2289239882782783</v>
      </c>
      <c r="AQ13" s="153">
        <f t="shared" si="6"/>
        <v>3.3144215596954978</v>
      </c>
      <c r="AR13" s="36">
        <v>0</v>
      </c>
      <c r="AS13" s="153">
        <f t="shared" si="7"/>
        <v>1.8191418560672143</v>
      </c>
      <c r="AT13" s="36">
        <f t="shared" si="18"/>
        <v>1.8056319841025505</v>
      </c>
      <c r="AU13" s="36">
        <f t="shared" si="8"/>
        <v>3.7400391544562175</v>
      </c>
      <c r="AV13" s="154">
        <f t="shared" si="9"/>
        <v>5495.9042075485249</v>
      </c>
      <c r="AW13" s="16"/>
    </row>
    <row r="14" spans="1:49" x14ac:dyDescent="0.2">
      <c r="A14" s="152">
        <v>1990</v>
      </c>
      <c r="B14" s="198">
        <v>130.69999999999999</v>
      </c>
      <c r="C14" s="199">
        <f t="shared" si="0"/>
        <v>1.7210328997704669</v>
      </c>
      <c r="D14" s="200">
        <v>2537.5636340000001</v>
      </c>
      <c r="E14" s="201">
        <f t="shared" si="1"/>
        <v>4367.230499375104</v>
      </c>
      <c r="F14" s="202">
        <v>7322564</v>
      </c>
      <c r="G14" s="203">
        <f t="shared" si="2"/>
        <v>596.40728293738425</v>
      </c>
      <c r="M14" s="31">
        <v>596.40728293738425</v>
      </c>
      <c r="N14" s="214">
        <f t="shared" si="10"/>
        <v>-10.062866291817727</v>
      </c>
      <c r="O14" s="215">
        <f t="shared" si="11"/>
        <v>-1.6592517050686182E-2</v>
      </c>
      <c r="R14" s="149">
        <v>32874</v>
      </c>
      <c r="S14" s="150">
        <v>23710</v>
      </c>
      <c r="T14" s="147">
        <f t="shared" si="12"/>
        <v>7322564</v>
      </c>
      <c r="U14" s="16">
        <f t="shared" si="3"/>
        <v>40805.690053557773</v>
      </c>
      <c r="V14" s="16">
        <f t="shared" si="13"/>
        <v>4367.230499375104</v>
      </c>
      <c r="W14" s="16"/>
      <c r="X14" s="143">
        <f t="shared" si="4"/>
        <v>1992</v>
      </c>
      <c r="Y14">
        <f t="shared" si="14"/>
        <v>4.6107207264859928</v>
      </c>
      <c r="Z14">
        <f t="shared" si="5"/>
        <v>6.8646631761508878</v>
      </c>
      <c r="AA14">
        <f t="shared" si="15"/>
        <v>3.7146135717202258</v>
      </c>
      <c r="AB14" s="151">
        <f t="shared" si="16"/>
        <v>5183.3862426706246</v>
      </c>
      <c r="AJ14" s="148"/>
      <c r="AO14" s="152">
        <f t="shared" si="17"/>
        <v>1993</v>
      </c>
      <c r="AP14" s="153">
        <f t="shared" si="6"/>
        <v>2.2076236456619709</v>
      </c>
      <c r="AQ14" s="153">
        <f t="shared" si="6"/>
        <v>3.3130774248126671</v>
      </c>
      <c r="AR14" s="36">
        <v>0</v>
      </c>
      <c r="AS14" s="153">
        <f t="shared" si="7"/>
        <v>1.8117814195819824</v>
      </c>
      <c r="AT14" s="36">
        <f t="shared" si="18"/>
        <v>1.7720722423612809</v>
      </c>
      <c r="AU14" s="36">
        <f t="shared" si="8"/>
        <v>3.6705262364137452</v>
      </c>
      <c r="AV14" s="154">
        <f t="shared" si="9"/>
        <v>4683.0224139513448</v>
      </c>
      <c r="AW14" s="16"/>
    </row>
    <row r="15" spans="1:49" x14ac:dyDescent="0.2">
      <c r="A15" s="152">
        <v>1991</v>
      </c>
      <c r="B15" s="198">
        <v>136.19999999999999</v>
      </c>
      <c r="C15" s="199">
        <f t="shared" si="0"/>
        <v>1.6515345080763584</v>
      </c>
      <c r="D15" s="200">
        <v>2798.1601030000002</v>
      </c>
      <c r="E15" s="201">
        <f t="shared" si="1"/>
        <v>4621.2579692269974</v>
      </c>
      <c r="F15" s="202">
        <v>7304481</v>
      </c>
      <c r="G15" s="203">
        <f t="shared" si="2"/>
        <v>632.66068721747615</v>
      </c>
      <c r="M15" s="31">
        <v>632.66068721747615</v>
      </c>
      <c r="N15" s="214">
        <f t="shared" si="10"/>
        <v>36.2534042800919</v>
      </c>
      <c r="O15" s="215">
        <f t="shared" si="11"/>
        <v>6.0786320551853623E-2</v>
      </c>
      <c r="R15" s="149">
        <v>33239</v>
      </c>
      <c r="S15" s="150">
        <v>23685</v>
      </c>
      <c r="T15" s="147">
        <f t="shared" si="12"/>
        <v>7304481</v>
      </c>
      <c r="U15" s="16">
        <f t="shared" si="3"/>
        <v>39116.594823788546</v>
      </c>
      <c r="V15" s="16">
        <f t="shared" si="13"/>
        <v>4621.2579692269974</v>
      </c>
      <c r="W15" s="16"/>
      <c r="X15" s="143">
        <f t="shared" si="4"/>
        <v>1993</v>
      </c>
      <c r="Y15">
        <f t="shared" si="14"/>
        <v>4.5923610415755576</v>
      </c>
      <c r="Z15">
        <f t="shared" si="5"/>
        <v>6.8635893637551249</v>
      </c>
      <c r="AA15">
        <f t="shared" si="15"/>
        <v>3.7330380779961363</v>
      </c>
      <c r="AB15" s="151">
        <f t="shared" si="16"/>
        <v>5408.0173718772448</v>
      </c>
      <c r="AJ15" s="148"/>
      <c r="AO15" s="152">
        <f t="shared" si="17"/>
        <v>1994</v>
      </c>
      <c r="AP15" s="153">
        <f t="shared" si="6"/>
        <v>2.2223394678242396</v>
      </c>
      <c r="AQ15" s="153">
        <f t="shared" si="6"/>
        <v>3.3136574315448448</v>
      </c>
      <c r="AR15" s="36">
        <v>0</v>
      </c>
      <c r="AS15" s="153">
        <f t="shared" si="7"/>
        <v>1.8013484067704746</v>
      </c>
      <c r="AT15" s="36">
        <f t="shared" si="18"/>
        <v>1.7940006136130915</v>
      </c>
      <c r="AU15" s="36">
        <f t="shared" si="8"/>
        <v>3.7159468801536084</v>
      </c>
      <c r="AV15" s="154">
        <f t="shared" si="9"/>
        <v>5199.3239817017329</v>
      </c>
      <c r="AW15" s="16"/>
    </row>
    <row r="16" spans="1:49" x14ac:dyDescent="0.2">
      <c r="A16" s="152">
        <v>1992</v>
      </c>
      <c r="B16" s="198">
        <v>140.30000000000001</v>
      </c>
      <c r="C16" s="199">
        <f t="shared" si="0"/>
        <v>1.6032715609408408</v>
      </c>
      <c r="D16" s="200">
        <v>3233.0057919999999</v>
      </c>
      <c r="E16" s="201">
        <f t="shared" si="1"/>
        <v>5183.3862426706191</v>
      </c>
      <c r="F16" s="202">
        <v>7304895</v>
      </c>
      <c r="G16" s="203">
        <f t="shared" si="2"/>
        <v>709.57710448550176</v>
      </c>
      <c r="M16" s="31">
        <v>709.57710448550176</v>
      </c>
      <c r="N16" s="214">
        <f t="shared" si="10"/>
        <v>76.916417268025612</v>
      </c>
      <c r="O16" s="215">
        <f t="shared" si="11"/>
        <v>0.12157609730156302</v>
      </c>
      <c r="R16" s="149">
        <v>33604</v>
      </c>
      <c r="S16" s="150">
        <v>24693</v>
      </c>
      <c r="T16" s="147">
        <f t="shared" si="12"/>
        <v>7304895</v>
      </c>
      <c r="U16" s="16">
        <f t="shared" si="3"/>
        <v>39589.584654312181</v>
      </c>
      <c r="V16" s="16">
        <f t="shared" si="13"/>
        <v>5183.3862426706191</v>
      </c>
      <c r="W16" s="16"/>
      <c r="X16" s="143">
        <f t="shared" si="4"/>
        <v>1994</v>
      </c>
      <c r="Y16">
        <f t="shared" si="14"/>
        <v>4.5975809454681302</v>
      </c>
      <c r="Z16">
        <f t="shared" si="5"/>
        <v>6.8636139777996341</v>
      </c>
      <c r="AA16">
        <f t="shared" si="15"/>
        <v>3.7321345100857286</v>
      </c>
      <c r="AB16" s="151">
        <f t="shared" si="16"/>
        <v>5396.7774612004496</v>
      </c>
      <c r="AJ16" s="148"/>
      <c r="AO16" s="152">
        <f t="shared" si="17"/>
        <v>1995</v>
      </c>
      <c r="AP16" s="153">
        <f t="shared" si="6"/>
        <v>2.2137389703300063</v>
      </c>
      <c r="AQ16" s="153">
        <f t="shared" si="6"/>
        <v>3.3150801259437293</v>
      </c>
      <c r="AR16" s="36">
        <v>0</v>
      </c>
      <c r="AS16" s="153">
        <f t="shared" si="7"/>
        <v>1.7952476594218074</v>
      </c>
      <c r="AT16" s="36">
        <f t="shared" si="18"/>
        <v>1.787537478477546</v>
      </c>
      <c r="AU16" s="36">
        <f t="shared" si="8"/>
        <v>3.7025596679861761</v>
      </c>
      <c r="AV16" s="154">
        <f t="shared" si="9"/>
        <v>5041.4987980696587</v>
      </c>
      <c r="AW16" s="16"/>
    </row>
    <row r="17" spans="1:49" x14ac:dyDescent="0.2">
      <c r="A17" s="152">
        <v>1993</v>
      </c>
      <c r="B17" s="198">
        <v>144.5</v>
      </c>
      <c r="C17" s="199">
        <f t="shared" si="0"/>
        <v>1.5566712802768166</v>
      </c>
      <c r="D17" s="200">
        <v>3474.0907990000001</v>
      </c>
      <c r="E17" s="201">
        <f t="shared" si="1"/>
        <v>5408.0173718772385</v>
      </c>
      <c r="F17" s="202">
        <v>7329079</v>
      </c>
      <c r="G17" s="203">
        <f t="shared" si="2"/>
        <v>737.88498826076761</v>
      </c>
      <c r="M17" s="31">
        <v>737.88498826076761</v>
      </c>
      <c r="N17" s="214">
        <f t="shared" si="10"/>
        <v>28.30788377526585</v>
      </c>
      <c r="O17" s="215">
        <f t="shared" si="11"/>
        <v>3.9894020813694732E-2</v>
      </c>
      <c r="R17" s="149">
        <v>33970</v>
      </c>
      <c r="S17" s="150">
        <v>25089</v>
      </c>
      <c r="T17" s="147">
        <f t="shared" si="12"/>
        <v>7329079</v>
      </c>
      <c r="U17" s="16">
        <f t="shared" si="3"/>
        <v>39055.325750865049</v>
      </c>
      <c r="V17" s="16">
        <f t="shared" si="13"/>
        <v>5408.0173718772385</v>
      </c>
      <c r="W17" s="16"/>
      <c r="X17" s="143">
        <f t="shared" si="4"/>
        <v>1995</v>
      </c>
      <c r="Y17">
        <f t="shared" si="14"/>
        <v>4.5916802645002344</v>
      </c>
      <c r="Z17">
        <f t="shared" si="5"/>
        <v>6.8650494029701026</v>
      </c>
      <c r="AA17">
        <f t="shared" si="15"/>
        <v>3.7255664231792092</v>
      </c>
      <c r="AB17" s="151">
        <f t="shared" si="16"/>
        <v>5315.7729539087486</v>
      </c>
      <c r="AJ17" s="148"/>
      <c r="AO17" s="152">
        <f t="shared" si="17"/>
        <v>1996</v>
      </c>
      <c r="AP17" s="153">
        <f t="shared" si="6"/>
        <v>2.2180647092466597</v>
      </c>
      <c r="AQ17" s="153">
        <f t="shared" si="6"/>
        <v>3.3284104528440723</v>
      </c>
      <c r="AR17" s="36">
        <v>0</v>
      </c>
      <c r="AS17" s="153">
        <f t="shared" si="7"/>
        <v>1.8227569271618373</v>
      </c>
      <c r="AT17" s="36">
        <f t="shared" si="18"/>
        <v>1.8414381908562536</v>
      </c>
      <c r="AU17" s="36">
        <f t="shared" si="8"/>
        <v>3.8142052173142393</v>
      </c>
      <c r="AV17" s="154">
        <f t="shared" si="9"/>
        <v>6519.3638100086246</v>
      </c>
      <c r="AW17" s="16"/>
    </row>
    <row r="18" spans="1:49" x14ac:dyDescent="0.2">
      <c r="A18" s="152">
        <v>1994</v>
      </c>
      <c r="B18" s="198">
        <v>148.19999999999999</v>
      </c>
      <c r="C18" s="199">
        <f t="shared" si="0"/>
        <v>1.5178070175438598</v>
      </c>
      <c r="D18" s="200">
        <v>3555.6413950000001</v>
      </c>
      <c r="E18" s="201">
        <f t="shared" si="1"/>
        <v>5396.7774612004396</v>
      </c>
      <c r="F18" s="202">
        <v>7570458</v>
      </c>
      <c r="G18" s="203">
        <f t="shared" si="2"/>
        <v>712.87331112601635</v>
      </c>
      <c r="M18" s="31">
        <v>712.87331112601635</v>
      </c>
      <c r="N18" s="214">
        <f t="shared" si="10"/>
        <v>-25.011677134751267</v>
      </c>
      <c r="O18" s="215">
        <f t="shared" si="11"/>
        <v>-3.3896443934582625E-2</v>
      </c>
      <c r="R18" s="149">
        <v>34335</v>
      </c>
      <c r="S18" s="150">
        <v>25807</v>
      </c>
      <c r="T18" s="147">
        <f t="shared" si="12"/>
        <v>7570458</v>
      </c>
      <c r="U18" s="16">
        <f t="shared" si="3"/>
        <v>39170.045701754389</v>
      </c>
      <c r="V18" s="16">
        <f t="shared" si="13"/>
        <v>5396.7774612004396</v>
      </c>
      <c r="W18" s="16"/>
      <c r="X18" s="143">
        <f t="shared" si="4"/>
        <v>1996</v>
      </c>
      <c r="Y18">
        <f t="shared" si="14"/>
        <v>4.5929540782623963</v>
      </c>
      <c r="Z18">
        <f t="shared" si="5"/>
        <v>6.8791221543819514</v>
      </c>
      <c r="AA18">
        <f t="shared" si="15"/>
        <v>3.7496785728991404</v>
      </c>
      <c r="AB18" s="151">
        <f t="shared" si="16"/>
        <v>5619.252829022309</v>
      </c>
      <c r="AJ18" s="148"/>
      <c r="AO18" s="152">
        <f t="shared" si="17"/>
        <v>1997</v>
      </c>
      <c r="AP18" s="153">
        <f t="shared" si="6"/>
        <v>2.2265970215153672</v>
      </c>
      <c r="AQ18" s="153">
        <f t="shared" si="6"/>
        <v>3.3247071879871646</v>
      </c>
      <c r="AR18" s="36">
        <v>0</v>
      </c>
      <c r="AS18" s="153">
        <f t="shared" si="7"/>
        <v>1.8483916506518159</v>
      </c>
      <c r="AT18" s="36">
        <f t="shared" si="18"/>
        <v>1.839585593208044</v>
      </c>
      <c r="AU18" s="36">
        <f t="shared" si="8"/>
        <v>3.8103678973050896</v>
      </c>
      <c r="AV18" s="154">
        <f t="shared" si="9"/>
        <v>6462.0140404764643</v>
      </c>
      <c r="AW18" s="16"/>
    </row>
    <row r="19" spans="1:49" x14ac:dyDescent="0.2">
      <c r="A19" s="152">
        <v>1995</v>
      </c>
      <c r="B19" s="198">
        <v>152.4</v>
      </c>
      <c r="C19" s="199">
        <f t="shared" si="0"/>
        <v>1.4759776902887138</v>
      </c>
      <c r="D19" s="200">
        <v>3601.5266280000001</v>
      </c>
      <c r="E19" s="201">
        <f t="shared" si="1"/>
        <v>5315.7729539087404</v>
      </c>
      <c r="F19" s="202">
        <v>7633040</v>
      </c>
      <c r="G19" s="203">
        <f t="shared" si="2"/>
        <v>696.41623179083831</v>
      </c>
      <c r="M19" s="31">
        <v>696.41623179083831</v>
      </c>
      <c r="N19" s="214">
        <f t="shared" si="10"/>
        <v>-16.457079335178037</v>
      </c>
      <c r="O19" s="215">
        <f t="shared" si="11"/>
        <v>-2.3085559633567034E-2</v>
      </c>
      <c r="R19" s="149">
        <v>34700</v>
      </c>
      <c r="S19" s="150">
        <v>27106</v>
      </c>
      <c r="T19" s="147">
        <f t="shared" si="12"/>
        <v>7633040</v>
      </c>
      <c r="U19" s="16">
        <f t="shared" si="3"/>
        <v>40007.851272965876</v>
      </c>
      <c r="V19" s="16">
        <f t="shared" si="13"/>
        <v>5315.7729539087404</v>
      </c>
      <c r="W19" s="16"/>
      <c r="X19" s="143">
        <f t="shared" si="4"/>
        <v>1997</v>
      </c>
      <c r="Y19">
        <f t="shared" si="14"/>
        <v>4.6021452270762468</v>
      </c>
      <c r="Z19">
        <f t="shared" si="5"/>
        <v>6.8826975382539617</v>
      </c>
      <c r="AA19">
        <f t="shared" si="15"/>
        <v>3.7877844800812208</v>
      </c>
      <c r="AB19" s="151">
        <f t="shared" si="16"/>
        <v>6134.5749951993057</v>
      </c>
      <c r="AJ19" s="148"/>
      <c r="AO19" s="152">
        <f t="shared" si="17"/>
        <v>1998</v>
      </c>
      <c r="AP19" s="153">
        <f t="shared" si="6"/>
        <v>2.2309389463725382</v>
      </c>
      <c r="AQ19" s="153">
        <f t="shared" si="6"/>
        <v>3.326492160450206</v>
      </c>
      <c r="AR19" s="36">
        <v>0</v>
      </c>
      <c r="AS19" s="153">
        <f t="shared" si="7"/>
        <v>1.8928300872933297</v>
      </c>
      <c r="AT19" s="36">
        <f t="shared" si="18"/>
        <v>1.8518751588475535</v>
      </c>
      <c r="AU19" s="36">
        <f t="shared" si="8"/>
        <v>3.8358235034793844</v>
      </c>
      <c r="AV19" s="154">
        <f t="shared" si="9"/>
        <v>6852.0970183180243</v>
      </c>
      <c r="AW19" s="16"/>
    </row>
    <row r="20" spans="1:49" x14ac:dyDescent="0.2">
      <c r="A20" s="152">
        <v>1996</v>
      </c>
      <c r="B20" s="198">
        <v>156.9</v>
      </c>
      <c r="C20" s="199">
        <f t="shared" si="0"/>
        <v>1.4336456341618864</v>
      </c>
      <c r="D20" s="200">
        <v>3919.5549409999999</v>
      </c>
      <c r="E20" s="201">
        <f t="shared" si="1"/>
        <v>5619.2528290222999</v>
      </c>
      <c r="F20" s="202">
        <v>7697182</v>
      </c>
      <c r="G20" s="203">
        <f t="shared" si="2"/>
        <v>730.04027045512248</v>
      </c>
      <c r="M20" s="31">
        <v>730.04027045512248</v>
      </c>
      <c r="N20" s="214">
        <f t="shared" si="10"/>
        <v>33.624038664284171</v>
      </c>
      <c r="O20" s="215">
        <f t="shared" si="11"/>
        <v>4.8281526376574777E-2</v>
      </c>
      <c r="R20" s="149">
        <v>35065</v>
      </c>
      <c r="S20" s="150">
        <v>28497</v>
      </c>
      <c r="T20" s="147">
        <f t="shared" si="12"/>
        <v>7697182</v>
      </c>
      <c r="U20" s="16">
        <f t="shared" si="3"/>
        <v>40854.599636711275</v>
      </c>
      <c r="V20" s="16">
        <f t="shared" si="13"/>
        <v>5619.2528290222999</v>
      </c>
      <c r="W20" s="16"/>
      <c r="X20" s="143">
        <f t="shared" si="4"/>
        <v>1998</v>
      </c>
      <c r="Y20">
        <f t="shared" si="14"/>
        <v>4.6112409588950687</v>
      </c>
      <c r="Z20">
        <f t="shared" si="5"/>
        <v>6.8863317555813364</v>
      </c>
      <c r="AA20">
        <f t="shared" si="15"/>
        <v>3.8519318922285177</v>
      </c>
      <c r="AB20" s="151">
        <f t="shared" si="16"/>
        <v>7111.0198709365804</v>
      </c>
      <c r="AJ20" s="148"/>
      <c r="AO20" s="152">
        <f t="shared" si="17"/>
        <v>1999</v>
      </c>
      <c r="AP20" s="153">
        <f t="shared" si="6"/>
        <v>2.238878192814409</v>
      </c>
      <c r="AQ20" s="153">
        <f t="shared" si="6"/>
        <v>3.3288941487920365</v>
      </c>
      <c r="AR20" s="36">
        <v>0</v>
      </c>
      <c r="AS20" s="153">
        <f t="shared" si="7"/>
        <v>1.8806643499457647</v>
      </c>
      <c r="AT20" s="36">
        <f t="shared" si="18"/>
        <v>1.8712388754300857</v>
      </c>
      <c r="AU20" s="36">
        <f t="shared" si="8"/>
        <v>3.8759319302419173</v>
      </c>
      <c r="AV20" s="154">
        <f t="shared" si="9"/>
        <v>7515.0509657575494</v>
      </c>
      <c r="AW20" s="16"/>
    </row>
    <row r="21" spans="1:49" x14ac:dyDescent="0.2">
      <c r="A21" s="152">
        <v>1997</v>
      </c>
      <c r="B21" s="198">
        <v>160.5</v>
      </c>
      <c r="C21" s="199">
        <f t="shared" si="0"/>
        <v>1.4014890965732087</v>
      </c>
      <c r="D21" s="200">
        <v>4377.1835330000004</v>
      </c>
      <c r="E21" s="201">
        <f t="shared" si="1"/>
        <v>6134.5749951992966</v>
      </c>
      <c r="F21" s="202">
        <v>7773443</v>
      </c>
      <c r="G21" s="203">
        <f t="shared" si="2"/>
        <v>789.17089830070108</v>
      </c>
      <c r="M21" s="31">
        <v>789.17089830070108</v>
      </c>
      <c r="N21" s="214">
        <f t="shared" si="10"/>
        <v>59.130627845578601</v>
      </c>
      <c r="O21" s="215">
        <f t="shared" si="11"/>
        <v>8.0996391895909139E-2</v>
      </c>
      <c r="R21" s="149">
        <v>35431</v>
      </c>
      <c r="S21" s="150">
        <v>30012</v>
      </c>
      <c r="T21" s="147">
        <f t="shared" si="12"/>
        <v>7773443</v>
      </c>
      <c r="U21" s="16">
        <f t="shared" si="3"/>
        <v>42061.490766355142</v>
      </c>
      <c r="V21" s="16">
        <f t="shared" si="13"/>
        <v>6134.5749951992966</v>
      </c>
      <c r="W21" s="16"/>
      <c r="X21" s="143">
        <f t="shared" si="4"/>
        <v>1999</v>
      </c>
      <c r="Y21">
        <f t="shared" si="14"/>
        <v>4.6238846611255848</v>
      </c>
      <c r="Z21">
        <f t="shared" si="5"/>
        <v>6.8906134183774626</v>
      </c>
      <c r="AA21">
        <f t="shared" si="15"/>
        <v>3.8729442070062934</v>
      </c>
      <c r="AB21" s="151">
        <f t="shared" si="16"/>
        <v>7463.5286970413354</v>
      </c>
      <c r="AJ21" s="148"/>
      <c r="AO21" s="152">
        <f t="shared" si="17"/>
        <v>2000</v>
      </c>
      <c r="AP21" s="153">
        <f t="shared" si="6"/>
        <v>2.2454820536561382</v>
      </c>
      <c r="AQ21" s="153">
        <f t="shared" si="6"/>
        <v>3.3313925255678418</v>
      </c>
      <c r="AR21" s="36">
        <v>0</v>
      </c>
      <c r="AS21" s="153">
        <f t="shared" si="7"/>
        <v>1.8619790944165682</v>
      </c>
      <c r="AT21" s="36">
        <f t="shared" si="18"/>
        <v>1.8891500798640557</v>
      </c>
      <c r="AU21" s="36">
        <f t="shared" si="8"/>
        <v>3.9130317415414013</v>
      </c>
      <c r="AV21" s="154">
        <f t="shared" si="9"/>
        <v>8185.2460994797757</v>
      </c>
      <c r="AW21" s="16"/>
    </row>
    <row r="22" spans="1:49" x14ac:dyDescent="0.2">
      <c r="A22" s="152">
        <v>1998</v>
      </c>
      <c r="B22" s="198">
        <v>163</v>
      </c>
      <c r="C22" s="199">
        <f t="shared" si="0"/>
        <v>1.3799938650306749</v>
      </c>
      <c r="D22" s="200">
        <v>5152.9358579999998</v>
      </c>
      <c r="E22" s="201">
        <f t="shared" si="1"/>
        <v>7111.0198709365768</v>
      </c>
      <c r="F22" s="202">
        <v>7858259</v>
      </c>
      <c r="G22" s="203">
        <f t="shared" si="2"/>
        <v>904.91034603677178</v>
      </c>
      <c r="M22" s="31">
        <v>904.91034603677178</v>
      </c>
      <c r="N22" s="214">
        <f t="shared" si="10"/>
        <v>115.7394477360707</v>
      </c>
      <c r="O22" s="215">
        <f t="shared" si="11"/>
        <v>0.14665954862918679</v>
      </c>
      <c r="R22" s="149">
        <v>35796</v>
      </c>
      <c r="S22" s="150">
        <v>31416</v>
      </c>
      <c r="T22" s="147">
        <f t="shared" si="12"/>
        <v>7858259</v>
      </c>
      <c r="U22" s="16">
        <f t="shared" si="3"/>
        <v>43353.887263803685</v>
      </c>
      <c r="V22" s="16">
        <f t="shared" si="13"/>
        <v>7111.0198709365768</v>
      </c>
      <c r="W22" s="16"/>
      <c r="X22" s="143">
        <f t="shared" si="4"/>
        <v>2000</v>
      </c>
      <c r="Y22">
        <f t="shared" si="14"/>
        <v>4.6370280439467528</v>
      </c>
      <c r="Z22">
        <f t="shared" si="5"/>
        <v>6.8953263386037005</v>
      </c>
      <c r="AA22">
        <f t="shared" si="15"/>
        <v>3.8651268517030686</v>
      </c>
      <c r="AB22" s="151">
        <f t="shared" si="16"/>
        <v>7330.3861280483898</v>
      </c>
      <c r="AJ22" s="148"/>
      <c r="AO22" s="152">
        <f t="shared" si="17"/>
        <v>2001</v>
      </c>
      <c r="AP22" s="153">
        <f t="shared" si="6"/>
        <v>2.245596328420532</v>
      </c>
      <c r="AQ22" s="153">
        <f t="shared" si="6"/>
        <v>3.3338678701430613</v>
      </c>
      <c r="AR22" s="36">
        <v>0</v>
      </c>
      <c r="AS22" s="153">
        <f t="shared" si="7"/>
        <v>1.8946406527912236</v>
      </c>
      <c r="AT22" s="36">
        <f t="shared" si="18"/>
        <v>1.8982303035934169</v>
      </c>
      <c r="AU22" s="36">
        <f t="shared" si="8"/>
        <v>3.9318397780505201</v>
      </c>
      <c r="AV22" s="154">
        <f t="shared" si="9"/>
        <v>8547.5131586016523</v>
      </c>
      <c r="AW22" s="16"/>
    </row>
    <row r="23" spans="1:49" x14ac:dyDescent="0.2">
      <c r="A23" s="152">
        <v>1999</v>
      </c>
      <c r="B23" s="198">
        <v>166.6</v>
      </c>
      <c r="C23" s="199">
        <f t="shared" si="0"/>
        <v>1.3501740696278512</v>
      </c>
      <c r="D23" s="200">
        <v>5527.8270149999998</v>
      </c>
      <c r="E23" s="201">
        <f t="shared" si="1"/>
        <v>7463.5286970413272</v>
      </c>
      <c r="F23" s="202">
        <v>7947660</v>
      </c>
      <c r="G23" s="203">
        <f t="shared" si="2"/>
        <v>939.08505107683607</v>
      </c>
      <c r="M23" s="31">
        <v>939.08505107683607</v>
      </c>
      <c r="N23" s="214">
        <f t="shared" si="10"/>
        <v>34.174705040064282</v>
      </c>
      <c r="O23" s="215">
        <f t="shared" si="11"/>
        <v>3.7765846295977221E-2</v>
      </c>
      <c r="R23" s="149">
        <v>36161</v>
      </c>
      <c r="S23" s="150">
        <v>32625</v>
      </c>
      <c r="T23" s="147">
        <f t="shared" si="12"/>
        <v>7947660</v>
      </c>
      <c r="U23" s="16">
        <f t="shared" si="3"/>
        <v>44049.429021608645</v>
      </c>
      <c r="V23" s="16">
        <f t="shared" si="13"/>
        <v>7463.5286970413272</v>
      </c>
      <c r="W23" s="16"/>
      <c r="X23" s="143">
        <f t="shared" si="4"/>
        <v>2001</v>
      </c>
      <c r="Y23">
        <f t="shared" si="14"/>
        <v>4.643940283363917</v>
      </c>
      <c r="Z23">
        <f t="shared" si="5"/>
        <v>6.9002392797661312</v>
      </c>
      <c r="AA23">
        <f t="shared" si="15"/>
        <v>3.8937451507621783</v>
      </c>
      <c r="AB23" s="151">
        <f t="shared" si="16"/>
        <v>7829.7005166682102</v>
      </c>
      <c r="AJ23" s="148"/>
      <c r="AO23" s="152">
        <f t="shared" si="17"/>
        <v>2002</v>
      </c>
      <c r="AP23" s="153">
        <f t="shared" si="6"/>
        <v>2.2534772346531695</v>
      </c>
      <c r="AQ23" s="153">
        <f t="shared" si="6"/>
        <v>3.3351831647748003</v>
      </c>
      <c r="AR23" s="36">
        <v>1</v>
      </c>
      <c r="AS23" s="153">
        <f t="shared" si="7"/>
        <v>1.7825838939169039</v>
      </c>
      <c r="AT23" s="36">
        <f t="shared" si="18"/>
        <v>1.8377052229242805</v>
      </c>
      <c r="AU23" s="36">
        <f t="shared" si="8"/>
        <v>3.8064730513187151</v>
      </c>
      <c r="AV23" s="154">
        <f t="shared" si="9"/>
        <v>6404.3204048318457</v>
      </c>
      <c r="AW23" s="16"/>
    </row>
    <row r="24" spans="1:49" x14ac:dyDescent="0.2">
      <c r="A24" s="152">
        <v>2000</v>
      </c>
      <c r="B24" s="198">
        <v>172.2</v>
      </c>
      <c r="C24" s="199">
        <f t="shared" si="0"/>
        <v>1.3062659698025552</v>
      </c>
      <c r="D24" s="200">
        <v>5611.710247</v>
      </c>
      <c r="E24" s="201">
        <f t="shared" si="1"/>
        <v>7330.3861280483916</v>
      </c>
      <c r="F24" s="202">
        <v>8018546</v>
      </c>
      <c r="G24" s="203">
        <f t="shared" si="2"/>
        <v>914.17897060743826</v>
      </c>
      <c r="M24" s="31">
        <v>914.17897060743826</v>
      </c>
      <c r="N24" s="214">
        <f t="shared" si="10"/>
        <v>-24.906080469397807</v>
      </c>
      <c r="O24" s="215">
        <f t="shared" si="11"/>
        <v>-2.6521645127710575E-2</v>
      </c>
      <c r="R24" s="149">
        <v>36526</v>
      </c>
      <c r="S24" s="150">
        <v>34623</v>
      </c>
      <c r="T24" s="147">
        <f t="shared" si="12"/>
        <v>8018546</v>
      </c>
      <c r="U24" s="16">
        <f t="shared" si="3"/>
        <v>45226.846672473868</v>
      </c>
      <c r="V24" s="16">
        <f t="shared" si="13"/>
        <v>7330.3861280483916</v>
      </c>
      <c r="W24" s="16"/>
      <c r="X24" s="143">
        <f t="shared" si="4"/>
        <v>2002</v>
      </c>
      <c r="Y24">
        <f t="shared" si="14"/>
        <v>4.6553963087168535</v>
      </c>
      <c r="Z24">
        <f t="shared" si="5"/>
        <v>6.9040956249643619</v>
      </c>
      <c r="AA24">
        <f t="shared" si="15"/>
        <v>3.796490227006966</v>
      </c>
      <c r="AB24" s="151">
        <f t="shared" si="16"/>
        <v>6258.7877952011804</v>
      </c>
      <c r="AJ24" s="148"/>
      <c r="AO24" s="152">
        <f t="shared" si="17"/>
        <v>2003</v>
      </c>
      <c r="AP24" s="153">
        <f t="shared" si="6"/>
        <v>2.2459365342722695</v>
      </c>
      <c r="AQ24" s="153">
        <f t="shared" si="6"/>
        <v>3.335597016240595</v>
      </c>
      <c r="AR24" s="36">
        <v>1</v>
      </c>
      <c r="AS24" s="153">
        <f t="shared" si="7"/>
        <v>1.8251886701751106</v>
      </c>
      <c r="AT24" s="36">
        <f t="shared" si="18"/>
        <v>1.8290327643018633</v>
      </c>
      <c r="AU24" s="36">
        <f t="shared" si="8"/>
        <v>3.7885096262693061</v>
      </c>
      <c r="AV24" s="154">
        <f t="shared" si="9"/>
        <v>6144.8265174971966</v>
      </c>
      <c r="AW24" s="16"/>
    </row>
    <row r="25" spans="1:49" x14ac:dyDescent="0.2">
      <c r="A25" s="152">
        <v>2001</v>
      </c>
      <c r="B25" s="198">
        <v>177.1</v>
      </c>
      <c r="C25" s="199">
        <f t="shared" si="0"/>
        <v>1.2701242236024846</v>
      </c>
      <c r="D25" s="200">
        <v>6164.5155420000001</v>
      </c>
      <c r="E25" s="201">
        <f t="shared" si="1"/>
        <v>7829.7005166681993</v>
      </c>
      <c r="F25" s="202">
        <v>8063137</v>
      </c>
      <c r="G25" s="203">
        <f t="shared" si="2"/>
        <v>971.04892508563353</v>
      </c>
      <c r="M25" s="31">
        <v>971.04892508563353</v>
      </c>
      <c r="N25" s="214">
        <f t="shared" si="10"/>
        <v>56.869954478195268</v>
      </c>
      <c r="O25" s="215">
        <f t="shared" si="11"/>
        <v>6.220877564095275E-2</v>
      </c>
      <c r="R25" s="149">
        <v>36892</v>
      </c>
      <c r="S25" s="150">
        <v>35476</v>
      </c>
      <c r="T25" s="147">
        <f t="shared" si="12"/>
        <v>8063137</v>
      </c>
      <c r="U25" s="16">
        <f t="shared" si="3"/>
        <v>45058.92695652174</v>
      </c>
      <c r="V25" s="16">
        <f t="shared" si="13"/>
        <v>7829.7005166681993</v>
      </c>
      <c r="W25" s="16"/>
      <c r="X25" s="143">
        <f t="shared" si="4"/>
        <v>2003</v>
      </c>
      <c r="Y25">
        <f t="shared" si="14"/>
        <v>4.6537808451239346</v>
      </c>
      <c r="Z25">
        <f t="shared" si="5"/>
        <v>6.9065040389186079</v>
      </c>
      <c r="AA25">
        <f t="shared" si="15"/>
        <v>3.7887932245685176</v>
      </c>
      <c r="AB25" s="151">
        <f t="shared" si="16"/>
        <v>6148.8404562717196</v>
      </c>
      <c r="AJ25" s="148"/>
      <c r="AO25" s="152">
        <f t="shared" si="17"/>
        <v>2004</v>
      </c>
      <c r="AP25" s="153">
        <f t="shared" si="6"/>
        <v>2.2396165661345666</v>
      </c>
      <c r="AQ25" s="153">
        <f t="shared" si="6"/>
        <v>3.3348284609121372</v>
      </c>
      <c r="AR25" s="36">
        <v>0</v>
      </c>
      <c r="AS25" s="153">
        <f t="shared" si="7"/>
        <v>1.8992888411446549</v>
      </c>
      <c r="AT25" s="36">
        <f t="shared" si="18"/>
        <v>1.893633542481961</v>
      </c>
      <c r="AU25" s="36">
        <f t="shared" si="8"/>
        <v>3.9223184211561515</v>
      </c>
      <c r="AV25" s="154">
        <f t="shared" si="9"/>
        <v>8362.1590017104845</v>
      </c>
      <c r="AW25" s="16"/>
    </row>
    <row r="26" spans="1:49" x14ac:dyDescent="0.2">
      <c r="A26" s="152">
        <v>2002</v>
      </c>
      <c r="B26" s="198">
        <v>179.9</v>
      </c>
      <c r="C26" s="199">
        <f t="shared" si="0"/>
        <v>1.2503557531962199</v>
      </c>
      <c r="D26" s="200">
        <v>5005.6056280000003</v>
      </c>
      <c r="E26" s="201">
        <f t="shared" si="1"/>
        <v>6258.7877952011777</v>
      </c>
      <c r="F26" s="202">
        <v>8072000</v>
      </c>
      <c r="G26" s="203">
        <f t="shared" si="2"/>
        <v>775.37014311213795</v>
      </c>
      <c r="M26" s="31">
        <v>775.37014311213795</v>
      </c>
      <c r="N26" s="214">
        <f t="shared" si="10"/>
        <v>-195.67878197349557</v>
      </c>
      <c r="O26" s="215">
        <f t="shared" si="11"/>
        <v>-0.20151279396786245</v>
      </c>
      <c r="R26" s="149">
        <v>37257</v>
      </c>
      <c r="S26" s="150">
        <v>35448</v>
      </c>
      <c r="T26" s="147">
        <f t="shared" si="12"/>
        <v>8072000</v>
      </c>
      <c r="U26" s="16">
        <f t="shared" si="3"/>
        <v>44322.610739299605</v>
      </c>
      <c r="V26" s="16">
        <f t="shared" si="13"/>
        <v>6258.7877952011777</v>
      </c>
      <c r="W26" s="16"/>
      <c r="X26" s="143">
        <f t="shared" si="4"/>
        <v>2004</v>
      </c>
      <c r="Y26">
        <f t="shared" si="14"/>
        <v>4.6466253337663526</v>
      </c>
      <c r="Z26">
        <f t="shared" si="5"/>
        <v>6.9069811532288545</v>
      </c>
      <c r="AA26">
        <f t="shared" si="15"/>
        <v>3.8589123846201887</v>
      </c>
      <c r="AB26" s="151">
        <f t="shared" si="16"/>
        <v>7226.2400537953827</v>
      </c>
      <c r="AJ26" s="148"/>
      <c r="AO26" s="152">
        <f t="shared" si="17"/>
        <v>2005</v>
      </c>
      <c r="AP26" s="153">
        <f t="shared" si="6"/>
        <v>2.2434148186979876</v>
      </c>
      <c r="AQ26" s="153">
        <f t="shared" si="6"/>
        <v>3.3343703557047206</v>
      </c>
      <c r="AR26" s="36">
        <v>0</v>
      </c>
      <c r="AS26" s="153">
        <f t="shared" si="7"/>
        <v>1.922808348068201</v>
      </c>
      <c r="AT26" s="36">
        <f t="shared" si="18"/>
        <v>1.8971016217743877</v>
      </c>
      <c r="AU26" s="36">
        <f t="shared" si="8"/>
        <v>3.9295019183796356</v>
      </c>
      <c r="AV26" s="154">
        <f t="shared" si="9"/>
        <v>8501.6244854421457</v>
      </c>
      <c r="AW26" s="16"/>
    </row>
    <row r="27" spans="1:49" x14ac:dyDescent="0.2">
      <c r="A27" s="152">
        <v>2003</v>
      </c>
      <c r="B27" s="198">
        <v>184</v>
      </c>
      <c r="C27" s="199">
        <f t="shared" si="0"/>
        <v>1.2224945652173913</v>
      </c>
      <c r="D27" s="200">
        <v>5029.748705</v>
      </c>
      <c r="E27" s="201">
        <f t="shared" si="1"/>
        <v>6148.8404562717124</v>
      </c>
      <c r="F27" s="202">
        <v>8068073</v>
      </c>
      <c r="G27" s="203">
        <f t="shared" si="2"/>
        <v>762.12008199128991</v>
      </c>
      <c r="M27" s="31">
        <v>762.12008199128991</v>
      </c>
      <c r="N27" s="214">
        <f t="shared" si="10"/>
        <v>-13.250061120848045</v>
      </c>
      <c r="O27" s="215">
        <f t="shared" si="11"/>
        <v>-1.7088691431508672E-2</v>
      </c>
      <c r="R27" s="149">
        <v>37622</v>
      </c>
      <c r="S27" s="150">
        <v>36264</v>
      </c>
      <c r="T27" s="147">
        <f t="shared" si="12"/>
        <v>8068073</v>
      </c>
      <c r="U27" s="16">
        <f t="shared" si="3"/>
        <v>44332.542913043479</v>
      </c>
      <c r="V27" s="16">
        <f t="shared" si="13"/>
        <v>6148.8404562717124</v>
      </c>
      <c r="W27" s="16"/>
      <c r="X27" s="143">
        <f t="shared" si="4"/>
        <v>2005</v>
      </c>
      <c r="Y27">
        <f t="shared" si="14"/>
        <v>4.6467226431294435</v>
      </c>
      <c r="Z27">
        <f t="shared" si="5"/>
        <v>6.9067698190590407</v>
      </c>
      <c r="AA27">
        <f t="shared" si="15"/>
        <v>3.9186986257626844</v>
      </c>
      <c r="AB27" s="151">
        <f t="shared" si="16"/>
        <v>8292.7510077913412</v>
      </c>
      <c r="AJ27" s="148"/>
      <c r="AO27" s="152">
        <f t="shared" si="17"/>
        <v>2006</v>
      </c>
      <c r="AP27" s="153">
        <f t="shared" si="6"/>
        <v>2.2597364974920149</v>
      </c>
      <c r="AQ27" s="153">
        <f t="shared" si="6"/>
        <v>3.3331476730082921</v>
      </c>
      <c r="AR27" s="36">
        <v>0</v>
      </c>
      <c r="AS27" s="153">
        <f t="shared" si="7"/>
        <v>1.9252506085144114</v>
      </c>
      <c r="AT27" s="36">
        <f t="shared" si="18"/>
        <v>1.9146941155690556</v>
      </c>
      <c r="AU27" s="36">
        <f t="shared" si="8"/>
        <v>3.9659415783966732</v>
      </c>
      <c r="AV27" s="154">
        <f t="shared" si="9"/>
        <v>9245.7379124683303</v>
      </c>
      <c r="AW27" s="16"/>
    </row>
    <row r="28" spans="1:49" x14ac:dyDescent="0.2">
      <c r="A28" s="152">
        <v>2004</v>
      </c>
      <c r="B28" s="198">
        <v>188.9</v>
      </c>
      <c r="C28" s="199">
        <f t="shared" si="0"/>
        <v>1.1907834833245103</v>
      </c>
      <c r="D28" s="200">
        <v>6068.4752140000001</v>
      </c>
      <c r="E28" s="201">
        <f t="shared" si="1"/>
        <v>7226.2400537953736</v>
      </c>
      <c r="F28" s="202">
        <v>8043366</v>
      </c>
      <c r="G28" s="203">
        <f t="shared" si="2"/>
        <v>898.40995098263261</v>
      </c>
      <c r="M28" s="31">
        <v>898.40995098263261</v>
      </c>
      <c r="N28" s="214">
        <f t="shared" si="10"/>
        <v>136.2898689913427</v>
      </c>
      <c r="O28" s="215">
        <f t="shared" si="11"/>
        <v>0.17882991435580664</v>
      </c>
      <c r="R28" s="149">
        <v>37987</v>
      </c>
      <c r="S28" s="150">
        <v>38660</v>
      </c>
      <c r="T28" s="147">
        <f t="shared" si="12"/>
        <v>8043366</v>
      </c>
      <c r="U28" s="16">
        <f t="shared" si="3"/>
        <v>46035.689465325573</v>
      </c>
      <c r="V28" s="16">
        <f t="shared" si="13"/>
        <v>7226.2400537953736</v>
      </c>
      <c r="W28" s="16"/>
      <c r="X28" s="143">
        <f t="shared" si="4"/>
        <v>2006</v>
      </c>
      <c r="Y28">
        <f t="shared" si="14"/>
        <v>4.6630946518590495</v>
      </c>
      <c r="Z28">
        <f t="shared" si="5"/>
        <v>6.9054378310006772</v>
      </c>
      <c r="AA28">
        <f t="shared" si="15"/>
        <v>3.9520632719857227</v>
      </c>
      <c r="AB28" s="151">
        <f t="shared" si="16"/>
        <v>8954.9521996699568</v>
      </c>
      <c r="AJ28" s="148"/>
      <c r="AO28" s="152">
        <f t="shared" si="17"/>
        <v>2007</v>
      </c>
      <c r="AP28" s="153">
        <f t="shared" si="6"/>
        <v>2.2634628494535427</v>
      </c>
      <c r="AQ28" s="153">
        <f t="shared" si="6"/>
        <v>3.3322138546335953</v>
      </c>
      <c r="AR28" s="36">
        <v>0</v>
      </c>
      <c r="AS28" s="153">
        <f t="shared" si="7"/>
        <v>1.9282125938755708</v>
      </c>
      <c r="AT28" s="36">
        <f t="shared" si="18"/>
        <v>1.9163498343807532</v>
      </c>
      <c r="AU28" s="36">
        <f t="shared" si="8"/>
        <v>3.9693710996053357</v>
      </c>
      <c r="AV28" s="154">
        <f t="shared" si="9"/>
        <v>9319.0383638576477</v>
      </c>
      <c r="AW28" s="16"/>
    </row>
    <row r="29" spans="1:49" x14ac:dyDescent="0.2">
      <c r="A29" s="152">
        <v>2005</v>
      </c>
      <c r="B29" s="198">
        <v>195.3</v>
      </c>
      <c r="C29" s="199">
        <f t="shared" si="0"/>
        <v>1.1517613927291346</v>
      </c>
      <c r="D29" s="200">
        <v>7200.0598909999999</v>
      </c>
      <c r="E29" s="201">
        <f t="shared" si="1"/>
        <v>8292.7510077913412</v>
      </c>
      <c r="F29" s="202">
        <v>8013368</v>
      </c>
      <c r="G29" s="203">
        <f t="shared" si="2"/>
        <v>1034.8646171985788</v>
      </c>
      <c r="M29" s="31">
        <v>1034.8646171985788</v>
      </c>
      <c r="N29" s="214">
        <f t="shared" si="10"/>
        <v>136.45466621594619</v>
      </c>
      <c r="O29" s="215">
        <f t="shared" si="11"/>
        <v>0.1518846335870383</v>
      </c>
      <c r="R29" s="149">
        <v>38353</v>
      </c>
      <c r="S29" s="150">
        <v>41108</v>
      </c>
      <c r="T29" s="147">
        <f t="shared" si="12"/>
        <v>8013368</v>
      </c>
      <c r="U29" s="16">
        <f t="shared" si="3"/>
        <v>47346.607332309264</v>
      </c>
      <c r="V29" s="16">
        <f t="shared" si="13"/>
        <v>8292.7510077913412</v>
      </c>
      <c r="W29" s="16"/>
      <c r="X29" s="143">
        <f t="shared" si="4"/>
        <v>2007</v>
      </c>
      <c r="Y29">
        <f t="shared" si="14"/>
        <v>4.6752888646561805</v>
      </c>
      <c r="Z29">
        <f t="shared" si="5"/>
        <v>6.9038150874183781</v>
      </c>
      <c r="AA29">
        <f t="shared" si="15"/>
        <v>3.9722819779919747</v>
      </c>
      <c r="AB29" s="151">
        <f t="shared" si="16"/>
        <v>9381.7094327464529</v>
      </c>
      <c r="AJ29" s="148"/>
      <c r="AO29" s="152">
        <f t="shared" si="17"/>
        <v>2008</v>
      </c>
      <c r="AP29" s="153">
        <f t="shared" si="6"/>
        <v>2.2784545789549089</v>
      </c>
      <c r="AQ29" s="153">
        <f t="shared" si="6"/>
        <v>3.3319971128640966</v>
      </c>
      <c r="AR29" s="36">
        <v>1</v>
      </c>
      <c r="AS29" s="153">
        <f t="shared" si="7"/>
        <v>1.9613481157198724</v>
      </c>
      <c r="AT29" s="36">
        <f t="shared" si="18"/>
        <v>1.8598855251065034</v>
      </c>
      <c r="AU29" s="36">
        <f t="shared" si="8"/>
        <v>3.8524155242863807</v>
      </c>
      <c r="AV29" s="154">
        <f t="shared" si="9"/>
        <v>7118.9431417478636</v>
      </c>
      <c r="AW29" s="16"/>
    </row>
    <row r="30" spans="1:49" x14ac:dyDescent="0.2">
      <c r="A30" s="152">
        <v>2006</v>
      </c>
      <c r="B30" s="198">
        <v>201.6</v>
      </c>
      <c r="C30" s="199">
        <f t="shared" si="0"/>
        <v>1.1157688492063491</v>
      </c>
      <c r="D30" s="200">
        <v>8025.8130579999997</v>
      </c>
      <c r="E30" s="201">
        <f t="shared" si="1"/>
        <v>8954.9521996699496</v>
      </c>
      <c r="F30" s="202">
        <v>7993906</v>
      </c>
      <c r="G30" s="203">
        <f t="shared" si="2"/>
        <v>1120.2223543371599</v>
      </c>
      <c r="M30" s="31">
        <v>1120.2223543371599</v>
      </c>
      <c r="N30" s="214">
        <f t="shared" si="10"/>
        <v>85.357737138581115</v>
      </c>
      <c r="O30" s="215">
        <f t="shared" si="11"/>
        <v>8.2482032644664222E-2</v>
      </c>
      <c r="R30" s="149">
        <v>38718</v>
      </c>
      <c r="S30" s="150">
        <v>44567</v>
      </c>
      <c r="T30" s="147">
        <f t="shared" si="12"/>
        <v>7993906</v>
      </c>
      <c r="U30" s="16">
        <f t="shared" si="3"/>
        <v>49726.470302579364</v>
      </c>
      <c r="V30" s="16">
        <f t="shared" si="13"/>
        <v>8954.9521996699496</v>
      </c>
      <c r="W30" s="16"/>
      <c r="X30" s="143">
        <f t="shared" si="4"/>
        <v>2008</v>
      </c>
      <c r="Y30">
        <f t="shared" si="14"/>
        <v>4.6965876331208909</v>
      </c>
      <c r="Z30">
        <f t="shared" si="5"/>
        <v>6.9027590371038059</v>
      </c>
      <c r="AA30">
        <f t="shared" si="15"/>
        <v>4.0158749331032961</v>
      </c>
      <c r="AB30" s="151">
        <f t="shared" si="16"/>
        <v>10372.296743364088</v>
      </c>
      <c r="AJ30" s="148"/>
      <c r="AO30" s="152">
        <f t="shared" si="17"/>
        <v>2009</v>
      </c>
      <c r="AP30" s="153">
        <f t="shared" si="6"/>
        <v>2.286128458019367</v>
      </c>
      <c r="AQ30" s="153">
        <f t="shared" si="6"/>
        <v>3.3336214263510442</v>
      </c>
      <c r="AR30" s="36">
        <v>1</v>
      </c>
      <c r="AS30" s="153">
        <f t="shared" si="7"/>
        <v>1.8275574249245086</v>
      </c>
      <c r="AT30" s="36">
        <f t="shared" si="18"/>
        <v>1.8760872043193482</v>
      </c>
      <c r="AU30" s="36">
        <f t="shared" si="8"/>
        <v>3.8859743641593334</v>
      </c>
      <c r="AV30" s="154">
        <f t="shared" si="9"/>
        <v>7690.8504085302593</v>
      </c>
      <c r="AW30" s="16"/>
    </row>
    <row r="31" spans="1:49" x14ac:dyDescent="0.2">
      <c r="A31" s="152">
        <v>2007</v>
      </c>
      <c r="B31" s="198">
        <v>207.34200000000001</v>
      </c>
      <c r="C31" s="199">
        <f t="shared" si="0"/>
        <v>1.0848694427564121</v>
      </c>
      <c r="D31" s="200">
        <v>8647.7773849999994</v>
      </c>
      <c r="E31" s="201">
        <f t="shared" si="1"/>
        <v>9381.7094327464511</v>
      </c>
      <c r="F31" s="202">
        <v>8013775</v>
      </c>
      <c r="G31" s="203">
        <f t="shared" si="2"/>
        <v>1170.6978836748538</v>
      </c>
      <c r="M31" s="31">
        <v>1170.6978836748538</v>
      </c>
      <c r="N31" s="214">
        <f t="shared" si="10"/>
        <v>50.475529337693843</v>
      </c>
      <c r="O31" s="215">
        <f t="shared" si="11"/>
        <v>4.5058491416697731E-2</v>
      </c>
      <c r="R31" s="149">
        <v>39083</v>
      </c>
      <c r="S31" s="150">
        <v>47852</v>
      </c>
      <c r="T31" s="147">
        <f t="shared" si="12"/>
        <v>8013775</v>
      </c>
      <c r="U31" s="16">
        <f t="shared" si="3"/>
        <v>51913.172574779826</v>
      </c>
      <c r="V31" s="16">
        <f t="shared" si="13"/>
        <v>9381.7094327464511</v>
      </c>
      <c r="W31" s="16"/>
      <c r="X31" s="143">
        <f t="shared" si="4"/>
        <v>2009</v>
      </c>
      <c r="Y31">
        <f t="shared" si="14"/>
        <v>4.7152775707709251</v>
      </c>
      <c r="Z31">
        <f t="shared" si="5"/>
        <v>6.9038371447312965</v>
      </c>
      <c r="AA31">
        <f t="shared" si="15"/>
        <v>3.9046312054443399</v>
      </c>
      <c r="AB31" s="151">
        <f t="shared" si="16"/>
        <v>8028.4407282581606</v>
      </c>
      <c r="AJ31" s="148"/>
      <c r="AO31" s="152">
        <f t="shared" si="17"/>
        <v>2010</v>
      </c>
      <c r="AP31" s="153">
        <f t="shared" si="6"/>
        <v>2.2739961102066699</v>
      </c>
      <c r="AQ31" s="153">
        <f t="shared" si="6"/>
        <v>3.3360030534904381</v>
      </c>
      <c r="AR31" s="36">
        <v>1</v>
      </c>
      <c r="AS31" s="153">
        <f t="shared" si="7"/>
        <v>1.8743537127259859</v>
      </c>
      <c r="AT31" s="36">
        <f t="shared" si="18"/>
        <v>1.8683211008103742</v>
      </c>
      <c r="AU31" s="36">
        <f t="shared" si="8"/>
        <v>3.8698882893351993</v>
      </c>
      <c r="AV31" s="154">
        <f t="shared" si="9"/>
        <v>7411.1958354766311</v>
      </c>
      <c r="AW31" s="16"/>
    </row>
    <row r="32" spans="1:49" x14ac:dyDescent="0.2">
      <c r="A32" s="152">
        <v>2008</v>
      </c>
      <c r="B32" s="198">
        <v>215.303</v>
      </c>
      <c r="C32" s="199">
        <f t="shared" si="0"/>
        <v>1.0447555305778369</v>
      </c>
      <c r="D32" s="200">
        <v>9927.9653849999995</v>
      </c>
      <c r="E32" s="201">
        <f t="shared" si="1"/>
        <v>10372.296743364073</v>
      </c>
      <c r="F32" s="202">
        <v>8068195</v>
      </c>
      <c r="G32" s="203">
        <f t="shared" si="2"/>
        <v>1285.5783410495251</v>
      </c>
      <c r="M32" s="31">
        <v>1285.5783410495251</v>
      </c>
      <c r="N32" s="214">
        <f t="shared" si="10"/>
        <v>114.88045737467132</v>
      </c>
      <c r="O32" s="215">
        <f t="shared" si="11"/>
        <v>9.8129892414307876E-2</v>
      </c>
      <c r="R32" s="149">
        <v>39448</v>
      </c>
      <c r="S32" s="150">
        <v>49408</v>
      </c>
      <c r="T32" s="147">
        <f t="shared" si="12"/>
        <v>8068195</v>
      </c>
      <c r="U32" s="16">
        <f t="shared" si="3"/>
        <v>51619.281254789763</v>
      </c>
      <c r="V32" s="16">
        <f t="shared" si="13"/>
        <v>10372.296743364073</v>
      </c>
      <c r="W32" s="16"/>
      <c r="X32" s="143">
        <f t="shared" si="4"/>
        <v>2010</v>
      </c>
      <c r="Y32">
        <f t="shared" si="14"/>
        <v>4.7128119531475665</v>
      </c>
      <c r="Z32">
        <f t="shared" si="5"/>
        <v>6.9067763861198745</v>
      </c>
      <c r="AA32">
        <f t="shared" si="15"/>
        <v>3.8938904847939249</v>
      </c>
      <c r="AB32" s="151">
        <f t="shared" si="16"/>
        <v>7832.3211172318343</v>
      </c>
      <c r="AJ32" s="148"/>
      <c r="AO32" s="152">
        <f t="shared" si="17"/>
        <v>2011</v>
      </c>
      <c r="AP32" s="153">
        <f t="shared" si="6"/>
        <v>2.252701386345024</v>
      </c>
      <c r="AQ32" s="153">
        <f t="shared" si="6"/>
        <v>3.3378810639972931</v>
      </c>
      <c r="AR32" s="36">
        <v>0</v>
      </c>
      <c r="AS32" s="153">
        <f t="shared" si="7"/>
        <v>1.8980264067026007</v>
      </c>
      <c r="AT32" s="36">
        <f t="shared" si="18"/>
        <v>1.9222796040166585</v>
      </c>
      <c r="AU32" s="36">
        <f t="shared" si="8"/>
        <v>3.9816535418806449</v>
      </c>
      <c r="AV32" s="154">
        <f t="shared" si="9"/>
        <v>9586.3557553479914</v>
      </c>
      <c r="AW32" s="16"/>
    </row>
    <row r="33" spans="1:88" x14ac:dyDescent="0.2">
      <c r="A33" s="152">
        <v>2009</v>
      </c>
      <c r="B33" s="198">
        <v>214.53700000000001</v>
      </c>
      <c r="C33" s="199">
        <f t="shared" si="0"/>
        <v>1.0484858089746756</v>
      </c>
      <c r="D33" s="200">
        <v>7657.1763389999996</v>
      </c>
      <c r="E33" s="201">
        <f t="shared" si="1"/>
        <v>8028.4407282581597</v>
      </c>
      <c r="F33" s="202">
        <v>8131574</v>
      </c>
      <c r="G33" s="203">
        <f t="shared" si="2"/>
        <v>987.31693621163129</v>
      </c>
      <c r="M33" s="31">
        <v>987.31693621163129</v>
      </c>
      <c r="N33" s="214">
        <f t="shared" si="10"/>
        <v>-298.26140483789379</v>
      </c>
      <c r="O33" s="215">
        <f t="shared" si="11"/>
        <v>-0.23200562370582417</v>
      </c>
      <c r="R33" s="149">
        <v>39814</v>
      </c>
      <c r="S33" s="150">
        <v>46739</v>
      </c>
      <c r="T33" s="147">
        <f t="shared" si="12"/>
        <v>8131574</v>
      </c>
      <c r="U33" s="16">
        <f t="shared" si="3"/>
        <v>49005.178225667361</v>
      </c>
      <c r="V33" s="16">
        <f t="shared" si="13"/>
        <v>8028.4407282581597</v>
      </c>
      <c r="W33" s="16"/>
      <c r="X33" s="143">
        <f t="shared" si="4"/>
        <v>2011</v>
      </c>
      <c r="Y33">
        <f t="shared" si="14"/>
        <v>4.6902419730083782</v>
      </c>
      <c r="Z33">
        <f t="shared" si="5"/>
        <v>6.9101746185769972</v>
      </c>
      <c r="AA33">
        <f t="shared" si="15"/>
        <v>3.9120079088434392</v>
      </c>
      <c r="AB33" s="151">
        <f t="shared" si="16"/>
        <v>8165.9724210000168</v>
      </c>
      <c r="AO33" s="152">
        <f t="shared" si="17"/>
        <v>2012</v>
      </c>
      <c r="AP33" s="153">
        <f t="shared" si="6"/>
        <v>2.2788791980947747</v>
      </c>
      <c r="AQ33" s="153">
        <f t="shared" si="6"/>
        <v>3.3390440683528708</v>
      </c>
      <c r="AR33" s="36">
        <v>0</v>
      </c>
      <c r="AS33" s="36"/>
      <c r="AT33" s="36">
        <f t="shared" si="18"/>
        <v>1.961760983659433</v>
      </c>
      <c r="AU33" s="36">
        <f t="shared" si="8"/>
        <v>4.0634320587855273</v>
      </c>
      <c r="AV33" s="154">
        <f t="shared" si="9"/>
        <v>11572.629752155592</v>
      </c>
      <c r="AW33" s="16"/>
    </row>
    <row r="34" spans="1:88" ht="13.5" thickBot="1" x14ac:dyDescent="0.25">
      <c r="A34" s="152">
        <v>2010</v>
      </c>
      <c r="B34" s="198">
        <v>218.05600000000001</v>
      </c>
      <c r="C34" s="199">
        <f t="shared" si="0"/>
        <v>1.0315652859815827</v>
      </c>
      <c r="D34" s="200">
        <v>7592.6567359999999</v>
      </c>
      <c r="E34" s="201">
        <f t="shared" si="1"/>
        <v>7832.3211172318306</v>
      </c>
      <c r="F34" s="202">
        <v>8186443</v>
      </c>
      <c r="G34" s="203">
        <f t="shared" si="2"/>
        <v>956.74288787350395</v>
      </c>
      <c r="M34" s="31">
        <v>956.74288787350395</v>
      </c>
      <c r="N34" s="214">
        <f t="shared" si="10"/>
        <v>-30.574048338127341</v>
      </c>
      <c r="O34" s="215">
        <f t="shared" si="11"/>
        <v>-3.0966802266596382E-2</v>
      </c>
      <c r="R34" s="149">
        <v>40179</v>
      </c>
      <c r="S34" s="150">
        <v>49119</v>
      </c>
      <c r="T34" s="147">
        <f t="shared" si="12"/>
        <v>8186443</v>
      </c>
      <c r="U34" s="16">
        <f t="shared" si="3"/>
        <v>50669.455282129362</v>
      </c>
      <c r="V34" s="16">
        <f t="shared" si="13"/>
        <v>7832.3211172318306</v>
      </c>
      <c r="W34" s="16"/>
      <c r="X34" s="143">
        <v>2012</v>
      </c>
      <c r="Y34">
        <f t="shared" si="14"/>
        <v>4.7047462354681526</v>
      </c>
      <c r="Z34">
        <f t="shared" si="5"/>
        <v>6.9130952422943279</v>
      </c>
      <c r="AO34" s="152">
        <f t="shared" si="17"/>
        <v>2013</v>
      </c>
      <c r="AP34" s="153">
        <f t="shared" si="6"/>
        <v>2.2752729452757103</v>
      </c>
      <c r="AQ34" s="153">
        <f t="shared" si="6"/>
        <v>3.340624152784712</v>
      </c>
      <c r="AR34" s="36">
        <v>0</v>
      </c>
      <c r="AS34" s="36"/>
      <c r="AT34" s="36">
        <f t="shared" si="18"/>
        <v>1.9625976165755752</v>
      </c>
      <c r="AU34" s="36">
        <f t="shared" si="8"/>
        <v>4.0651649921251156</v>
      </c>
      <c r="AV34" s="154">
        <f t="shared" si="9"/>
        <v>11618.899417606999</v>
      </c>
      <c r="AW34" s="16"/>
    </row>
    <row r="35" spans="1:88" ht="13.5" thickBot="1" x14ac:dyDescent="0.25">
      <c r="A35" s="204">
        <v>2011</v>
      </c>
      <c r="B35" s="205">
        <v>224.93899999999999</v>
      </c>
      <c r="C35" s="206">
        <f t="shared" si="0"/>
        <v>1</v>
      </c>
      <c r="D35" s="207">
        <v>8165.9724210000004</v>
      </c>
      <c r="E35" s="208">
        <f t="shared" si="1"/>
        <v>8165.9724210000004</v>
      </c>
      <c r="F35" s="209">
        <v>8244910</v>
      </c>
      <c r="G35" s="210">
        <f t="shared" si="2"/>
        <v>990.42590167751985</v>
      </c>
      <c r="M35" s="216">
        <v>990.42590167751985</v>
      </c>
      <c r="N35" s="217">
        <f t="shared" si="10"/>
        <v>33.6830138040159</v>
      </c>
      <c r="O35" s="218">
        <f t="shared" si="11"/>
        <v>3.5205920243505703E-2</v>
      </c>
      <c r="R35" s="149">
        <v>40544</v>
      </c>
      <c r="S35" s="150">
        <v>51126</v>
      </c>
      <c r="T35" s="147">
        <f t="shared" si="12"/>
        <v>8244910</v>
      </c>
      <c r="U35" s="16">
        <f t="shared" si="3"/>
        <v>51126</v>
      </c>
      <c r="V35" s="16">
        <f t="shared" si="13"/>
        <v>8165.9724210000004</v>
      </c>
      <c r="W35" s="16"/>
      <c r="X35" s="143">
        <v>2013</v>
      </c>
      <c r="Y35">
        <f t="shared" si="14"/>
        <v>4.708641815689913</v>
      </c>
      <c r="Z35">
        <f t="shared" si="5"/>
        <v>6.9161859193235697</v>
      </c>
      <c r="AO35" s="235" t="s">
        <v>66</v>
      </c>
      <c r="AP35" s="236"/>
      <c r="AQ35" s="236"/>
      <c r="AR35" s="237"/>
      <c r="AS35" s="36"/>
      <c r="AT35" s="36"/>
      <c r="AU35" s="36"/>
      <c r="AV35" s="30"/>
    </row>
    <row r="36" spans="1:88" x14ac:dyDescent="0.2">
      <c r="A36" s="143"/>
      <c r="B36" s="144"/>
      <c r="C36" s="145"/>
      <c r="D36" s="146"/>
      <c r="E36" s="16"/>
      <c r="F36" s="147"/>
      <c r="G36" s="148"/>
      <c r="M36" s="148"/>
      <c r="N36" s="148"/>
      <c r="O36" s="155"/>
      <c r="R36" s="149"/>
      <c r="S36" s="150"/>
      <c r="T36" s="147"/>
      <c r="U36" s="16"/>
      <c r="V36" s="16"/>
      <c r="W36" s="16"/>
      <c r="AO36" s="156"/>
      <c r="AP36" s="157"/>
      <c r="AQ36" s="158" t="s">
        <v>42</v>
      </c>
      <c r="AR36" s="157">
        <f>BJ58</f>
        <v>-13.150869005049829</v>
      </c>
      <c r="AS36" s="36"/>
      <c r="AT36" s="36"/>
      <c r="AU36" s="36"/>
      <c r="AV36" s="30"/>
    </row>
    <row r="37" spans="1:88" ht="13.5" thickBot="1" x14ac:dyDescent="0.25">
      <c r="A37" s="143"/>
      <c r="B37" s="144"/>
      <c r="C37" s="145"/>
      <c r="D37" s="146"/>
      <c r="E37" s="16"/>
      <c r="F37" s="147"/>
      <c r="G37" s="148"/>
      <c r="M37" s="148"/>
      <c r="N37" s="148"/>
      <c r="O37" s="155"/>
      <c r="R37" s="149"/>
      <c r="S37" s="150"/>
      <c r="T37" s="147"/>
      <c r="U37" s="16"/>
      <c r="V37" s="16"/>
      <c r="W37" s="16"/>
      <c r="AO37" s="156"/>
      <c r="AP37" s="157"/>
      <c r="AQ37" s="158" t="s">
        <v>115</v>
      </c>
      <c r="AR37" s="157">
        <f>BJ59</f>
        <v>1.3479944102397543</v>
      </c>
      <c r="AS37" s="36"/>
      <c r="AT37" s="36"/>
      <c r="AU37" s="36"/>
      <c r="AV37" s="30"/>
    </row>
    <row r="38" spans="1:88" x14ac:dyDescent="0.2">
      <c r="A38" s="143"/>
      <c r="B38" s="144"/>
      <c r="C38" s="145"/>
      <c r="D38" s="146"/>
      <c r="E38" s="16"/>
      <c r="F38" s="147"/>
      <c r="G38" s="148"/>
      <c r="M38" s="148"/>
      <c r="N38" s="148"/>
      <c r="O38" s="155"/>
      <c r="R38" s="149"/>
      <c r="S38" s="150"/>
      <c r="T38" s="147"/>
      <c r="U38" s="16"/>
      <c r="V38" s="16"/>
      <c r="W38" s="16"/>
      <c r="AO38" s="156"/>
      <c r="AP38" s="157"/>
      <c r="AQ38" s="158" t="s">
        <v>116</v>
      </c>
      <c r="AR38" s="157">
        <f>BJ60</f>
        <v>3.6060361353677672</v>
      </c>
      <c r="AS38" s="36"/>
      <c r="AT38" s="36"/>
      <c r="AU38" s="36"/>
      <c r="AV38" s="30"/>
      <c r="BT38" s="34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28"/>
    </row>
    <row r="39" spans="1:88" ht="13.5" thickBot="1" x14ac:dyDescent="0.25">
      <c r="V39" s="16"/>
      <c r="AO39" s="159"/>
      <c r="AP39" s="160"/>
      <c r="AQ39" s="161" t="s">
        <v>113</v>
      </c>
      <c r="AR39" s="160">
        <f>BJ61</f>
        <v>-7.5891498189062906E-2</v>
      </c>
      <c r="AS39" s="38"/>
      <c r="AT39" s="38"/>
      <c r="AU39" s="38"/>
      <c r="AV39" s="33"/>
      <c r="BT39" s="29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0"/>
    </row>
    <row r="40" spans="1:88" ht="13.5" thickBot="1" x14ac:dyDescent="0.25">
      <c r="U40" s="34"/>
      <c r="V40" s="35"/>
      <c r="W40" s="35"/>
      <c r="X40" s="35"/>
      <c r="Y40" s="35"/>
      <c r="Z40" s="35"/>
      <c r="AA40" s="35"/>
      <c r="AB40" s="28"/>
      <c r="AC40" s="35" t="s">
        <v>68</v>
      </c>
      <c r="AD40" s="35"/>
      <c r="AE40" s="35"/>
      <c r="AF40" s="35"/>
      <c r="AG40" s="35"/>
      <c r="AH40" s="35"/>
      <c r="AI40" s="35"/>
      <c r="AJ40" s="35"/>
      <c r="AK40" s="28"/>
      <c r="AN40" s="34" t="s">
        <v>68</v>
      </c>
      <c r="AO40" s="35"/>
      <c r="AP40" s="35"/>
      <c r="AQ40" s="35"/>
      <c r="AR40" s="35"/>
      <c r="AS40" s="35"/>
      <c r="AT40" s="35"/>
      <c r="AU40" s="35"/>
      <c r="AV40" s="28"/>
      <c r="AY40" s="34"/>
      <c r="AZ40" s="35"/>
      <c r="BA40" s="35"/>
      <c r="BB40" s="35"/>
      <c r="BC40" s="35"/>
      <c r="BD40" s="35"/>
      <c r="BE40" s="35"/>
      <c r="BF40" s="35"/>
      <c r="BG40" s="28"/>
      <c r="BT40" s="29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0"/>
    </row>
    <row r="41" spans="1:88" ht="13.5" thickBot="1" x14ac:dyDescent="0.25">
      <c r="U41" s="29"/>
      <c r="V41" s="36"/>
      <c r="W41" s="36"/>
      <c r="X41" s="36"/>
      <c r="Y41" s="36"/>
      <c r="Z41" s="36"/>
      <c r="AA41" s="36"/>
      <c r="AB41" s="30"/>
      <c r="AC41" s="36"/>
      <c r="AD41" s="36"/>
      <c r="AE41" s="36"/>
      <c r="AF41" s="36"/>
      <c r="AG41" s="36"/>
      <c r="AH41" s="36"/>
      <c r="AI41" s="36"/>
      <c r="AJ41" s="27" t="s">
        <v>117</v>
      </c>
      <c r="AK41" s="30"/>
      <c r="AN41" s="29"/>
      <c r="AO41" s="36"/>
      <c r="AP41" s="36"/>
      <c r="AQ41" s="36"/>
      <c r="AR41" s="36"/>
      <c r="AS41" s="36"/>
      <c r="AT41" s="36"/>
      <c r="AU41" s="27" t="s">
        <v>117</v>
      </c>
      <c r="AV41" s="30"/>
      <c r="AY41" s="29"/>
      <c r="AZ41" s="36"/>
      <c r="BA41" s="36"/>
      <c r="BB41" s="36"/>
      <c r="BC41" s="36"/>
      <c r="BD41" s="36"/>
      <c r="BE41" s="36"/>
      <c r="BF41" s="36"/>
      <c r="BG41" s="30"/>
      <c r="BT41" s="29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0"/>
    </row>
    <row r="42" spans="1:88" ht="13.5" thickBot="1" x14ac:dyDescent="0.25">
      <c r="U42" s="29"/>
      <c r="V42" s="36"/>
      <c r="W42" s="36"/>
      <c r="X42" s="36"/>
      <c r="Y42" s="36"/>
      <c r="Z42" s="36"/>
      <c r="AA42" s="36"/>
      <c r="AB42" s="30"/>
      <c r="AC42" s="162" t="s">
        <v>65</v>
      </c>
      <c r="AD42" s="162"/>
      <c r="AE42" s="36"/>
      <c r="AF42" s="36"/>
      <c r="AG42" s="36"/>
      <c r="AH42" s="36"/>
      <c r="AI42" s="36"/>
      <c r="AJ42" s="163">
        <f>AF63</f>
        <v>0.89508191904596857</v>
      </c>
      <c r="AK42" s="30"/>
      <c r="AN42" s="164" t="s">
        <v>65</v>
      </c>
      <c r="AO42" s="162"/>
      <c r="AP42" s="36"/>
      <c r="AQ42" s="36"/>
      <c r="AR42" s="36"/>
      <c r="AS42" s="36"/>
      <c r="AT42" s="36"/>
      <c r="AU42" s="163">
        <f>AQ63</f>
        <v>1.5773311669463757</v>
      </c>
      <c r="AV42" s="30"/>
      <c r="AY42" s="29"/>
      <c r="AZ42" s="36"/>
      <c r="BA42" s="36"/>
      <c r="BB42" s="36"/>
      <c r="BC42" s="36"/>
      <c r="BD42" s="36"/>
      <c r="BE42" s="36"/>
      <c r="BF42" s="36"/>
      <c r="BG42" s="30"/>
      <c r="BI42" t="s">
        <v>68</v>
      </c>
      <c r="BT42" s="29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0"/>
    </row>
    <row r="43" spans="1:88" ht="13.5" thickBot="1" x14ac:dyDescent="0.25">
      <c r="U43" s="29"/>
      <c r="V43" s="36"/>
      <c r="W43" s="36"/>
      <c r="X43" s="36"/>
      <c r="Y43" s="36"/>
      <c r="Z43" s="36"/>
      <c r="AA43" s="36"/>
      <c r="AB43" s="30"/>
      <c r="AC43" s="158" t="s">
        <v>63</v>
      </c>
      <c r="AD43" s="158">
        <v>0.94580417817225326</v>
      </c>
      <c r="AE43" s="36"/>
      <c r="AF43" s="36"/>
      <c r="AG43" s="36"/>
      <c r="AH43" s="36"/>
      <c r="AI43" s="36"/>
      <c r="AJ43" s="36"/>
      <c r="AK43" s="30"/>
      <c r="AN43" s="156" t="s">
        <v>63</v>
      </c>
      <c r="AO43" s="158">
        <v>0.82144185257748115</v>
      </c>
      <c r="AP43" s="36"/>
      <c r="AQ43" s="36"/>
      <c r="AR43" s="36"/>
      <c r="AS43" s="36"/>
      <c r="AT43" s="36"/>
      <c r="AU43" s="36"/>
      <c r="AV43" s="30"/>
      <c r="AY43" s="29"/>
      <c r="AZ43" s="36"/>
      <c r="BA43" s="36"/>
      <c r="BB43" s="36"/>
      <c r="BC43" s="36"/>
      <c r="BD43" s="36"/>
      <c r="BE43" s="36"/>
      <c r="BF43" s="36"/>
      <c r="BG43" s="30"/>
      <c r="BT43" s="29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0"/>
    </row>
    <row r="44" spans="1:88" ht="13.5" thickBot="1" x14ac:dyDescent="0.25">
      <c r="U44" s="29"/>
      <c r="V44" s="36"/>
      <c r="W44" s="36"/>
      <c r="X44" s="36"/>
      <c r="Y44" s="36"/>
      <c r="Z44" s="36"/>
      <c r="AA44" s="36"/>
      <c r="AB44" s="30"/>
      <c r="AC44" s="158" t="s">
        <v>62</v>
      </c>
      <c r="AD44" s="158">
        <v>0.89454554344809134</v>
      </c>
      <c r="AE44" s="36"/>
      <c r="AF44" s="36"/>
      <c r="AG44" s="36"/>
      <c r="AH44" s="36"/>
      <c r="AI44" s="36"/>
      <c r="AJ44" s="36"/>
      <c r="AK44" s="30"/>
      <c r="AN44" s="156" t="s">
        <v>62</v>
      </c>
      <c r="AO44" s="158">
        <v>0.67476671716592418</v>
      </c>
      <c r="AP44" s="36"/>
      <c r="AQ44" s="36"/>
      <c r="AR44" s="36"/>
      <c r="AS44" s="36"/>
      <c r="AT44" s="36"/>
      <c r="AU44" s="36"/>
      <c r="AV44" s="30"/>
      <c r="AY44" s="29"/>
      <c r="AZ44" s="36"/>
      <c r="BA44" s="36"/>
      <c r="BB44" s="36"/>
      <c r="BC44" s="36"/>
      <c r="BD44" s="36"/>
      <c r="BE44" s="36"/>
      <c r="BF44" s="36"/>
      <c r="BG44" s="30"/>
      <c r="BI44" s="162" t="s">
        <v>65</v>
      </c>
      <c r="BJ44" s="162"/>
      <c r="BP44" s="27" t="s">
        <v>117</v>
      </c>
      <c r="BT44" s="29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0"/>
    </row>
    <row r="45" spans="1:88" ht="13.5" thickBot="1" x14ac:dyDescent="0.25">
      <c r="U45" s="29"/>
      <c r="V45" s="36"/>
      <c r="W45" s="36"/>
      <c r="X45" s="36"/>
      <c r="Y45" s="36"/>
      <c r="Z45" s="36"/>
      <c r="AA45" s="36"/>
      <c r="AB45" s="30"/>
      <c r="AC45" s="158" t="s">
        <v>61</v>
      </c>
      <c r="AD45" s="158">
        <v>0.88673410222202398</v>
      </c>
      <c r="AE45" s="36"/>
      <c r="AF45" s="36"/>
      <c r="AG45" s="36"/>
      <c r="AH45" s="36"/>
      <c r="AI45" s="36"/>
      <c r="AJ45" s="36"/>
      <c r="AK45" s="30"/>
      <c r="AN45" s="156" t="s">
        <v>61</v>
      </c>
      <c r="AO45" s="158">
        <v>0.64974877233253381</v>
      </c>
      <c r="AP45" s="36"/>
      <c r="AQ45" s="36"/>
      <c r="AR45" s="36"/>
      <c r="AS45" s="36"/>
      <c r="AT45" s="36"/>
      <c r="AU45" s="36"/>
      <c r="AV45" s="30"/>
      <c r="AY45" s="29"/>
      <c r="AZ45" s="36"/>
      <c r="BA45" s="36"/>
      <c r="BB45" s="36"/>
      <c r="BC45" s="36"/>
      <c r="BD45" s="36"/>
      <c r="BE45" s="36"/>
      <c r="BF45" s="36"/>
      <c r="BG45" s="30"/>
      <c r="BI45" s="158" t="s">
        <v>63</v>
      </c>
      <c r="BJ45" s="165">
        <v>0.88567472256604496</v>
      </c>
      <c r="BP45" s="163">
        <f>BL66</f>
        <v>2.2083543879902021</v>
      </c>
      <c r="BT45" s="29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0"/>
    </row>
    <row r="46" spans="1:88" x14ac:dyDescent="0.2">
      <c r="U46" s="29"/>
      <c r="V46" s="36"/>
      <c r="W46" s="36"/>
      <c r="X46" s="36"/>
      <c r="Y46" s="36"/>
      <c r="Z46" s="36"/>
      <c r="AA46" s="36"/>
      <c r="AB46" s="30"/>
      <c r="AC46" s="158" t="s">
        <v>49</v>
      </c>
      <c r="AD46" s="158">
        <v>5.2225701714534709E-2</v>
      </c>
      <c r="AE46" s="36"/>
      <c r="AF46" s="36"/>
      <c r="AG46" s="36"/>
      <c r="AH46" s="36"/>
      <c r="AI46" s="36"/>
      <c r="AJ46" s="36"/>
      <c r="AK46" s="30"/>
      <c r="AN46" s="156" t="s">
        <v>49</v>
      </c>
      <c r="AO46" s="158">
        <v>4.2193696648523904E-2</v>
      </c>
      <c r="AP46" s="36"/>
      <c r="AQ46" s="36"/>
      <c r="AR46" s="36"/>
      <c r="AS46" s="36"/>
      <c r="AT46" s="36"/>
      <c r="AU46" s="36"/>
      <c r="AV46" s="30"/>
      <c r="AY46" s="29"/>
      <c r="AZ46" s="36"/>
      <c r="BA46" s="36"/>
      <c r="BB46" s="36"/>
      <c r="BC46" s="36"/>
      <c r="BD46" s="36"/>
      <c r="BE46" s="36"/>
      <c r="BF46" s="36"/>
      <c r="BG46" s="30"/>
      <c r="BI46" s="158" t="s">
        <v>62</v>
      </c>
      <c r="BJ46" s="165">
        <v>0.78441971419244072</v>
      </c>
      <c r="BT46" s="29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0"/>
    </row>
    <row r="47" spans="1:88" ht="13.5" thickBot="1" x14ac:dyDescent="0.25">
      <c r="U47" s="29"/>
      <c r="V47" s="36"/>
      <c r="W47" s="36"/>
      <c r="X47" s="36"/>
      <c r="Y47" s="36"/>
      <c r="Z47" s="36"/>
      <c r="AA47" s="36"/>
      <c r="AB47" s="30"/>
      <c r="AC47" s="161" t="s">
        <v>60</v>
      </c>
      <c r="AD47" s="161">
        <v>30</v>
      </c>
      <c r="AE47" s="36"/>
      <c r="AF47" s="36"/>
      <c r="AG47" s="36"/>
      <c r="AH47" s="36"/>
      <c r="AI47" s="36"/>
      <c r="AJ47" s="36"/>
      <c r="AK47" s="30"/>
      <c r="AN47" s="159" t="s">
        <v>60</v>
      </c>
      <c r="AO47" s="161">
        <v>29</v>
      </c>
      <c r="AP47" s="36"/>
      <c r="AQ47" s="36"/>
      <c r="AR47" s="36"/>
      <c r="AS47" s="36"/>
      <c r="AT47" s="36"/>
      <c r="AU47" s="36"/>
      <c r="AV47" s="30"/>
      <c r="AY47" s="29"/>
      <c r="AZ47" s="36"/>
      <c r="BA47" s="36"/>
      <c r="BB47" s="36"/>
      <c r="BC47" s="36"/>
      <c r="BD47" s="36"/>
      <c r="BE47" s="36"/>
      <c r="BF47" s="36"/>
      <c r="BG47" s="30"/>
      <c r="BI47" s="158" t="s">
        <v>61</v>
      </c>
      <c r="BJ47" s="165">
        <v>0.75855007989553358</v>
      </c>
      <c r="BT47" s="29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0"/>
    </row>
    <row r="48" spans="1:88" x14ac:dyDescent="0.2">
      <c r="U48" s="29"/>
      <c r="V48" s="36"/>
      <c r="W48" s="36"/>
      <c r="X48" s="36"/>
      <c r="Y48" s="36"/>
      <c r="Z48" s="36"/>
      <c r="AA48" s="36"/>
      <c r="AB48" s="30"/>
      <c r="AC48" s="36"/>
      <c r="AD48" s="36"/>
      <c r="AE48" s="36"/>
      <c r="AF48" s="36"/>
      <c r="AG48" s="36"/>
      <c r="AH48" s="36"/>
      <c r="AI48" s="36"/>
      <c r="AJ48" s="36"/>
      <c r="AK48" s="30"/>
      <c r="AN48" s="29"/>
      <c r="AO48" s="36"/>
      <c r="AP48" s="36"/>
      <c r="AQ48" s="36"/>
      <c r="AR48" s="36"/>
      <c r="AS48" s="36"/>
      <c r="AT48" s="36"/>
      <c r="AU48" s="36"/>
      <c r="AV48" s="30"/>
      <c r="AY48" s="29"/>
      <c r="AZ48" s="36"/>
      <c r="BA48" s="36"/>
      <c r="BB48" s="36"/>
      <c r="BC48" s="36"/>
      <c r="BD48" s="36"/>
      <c r="BE48" s="36"/>
      <c r="BF48" s="36"/>
      <c r="BG48" s="30"/>
      <c r="BI48" s="158" t="s">
        <v>49</v>
      </c>
      <c r="BJ48" s="165">
        <v>3.5032511730660389E-2</v>
      </c>
      <c r="BT48" s="29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0"/>
    </row>
    <row r="49" spans="21:88" ht="13.5" thickBot="1" x14ac:dyDescent="0.25">
      <c r="U49" s="29"/>
      <c r="V49" s="36"/>
      <c r="W49" s="36"/>
      <c r="X49" s="36"/>
      <c r="Y49" s="36"/>
      <c r="Z49" s="36"/>
      <c r="AA49" s="36"/>
      <c r="AB49" s="30"/>
      <c r="AC49" s="36" t="s">
        <v>59</v>
      </c>
      <c r="AD49" s="36"/>
      <c r="AE49" s="36"/>
      <c r="AF49" s="36"/>
      <c r="AG49" s="36"/>
      <c r="AH49" s="36"/>
      <c r="AI49" s="36"/>
      <c r="AJ49" s="36"/>
      <c r="AK49" s="30"/>
      <c r="AN49" s="29" t="s">
        <v>59</v>
      </c>
      <c r="AO49" s="36"/>
      <c r="AP49" s="36"/>
      <c r="AQ49" s="36"/>
      <c r="AR49" s="36"/>
      <c r="AS49" s="36"/>
      <c r="AT49" s="36"/>
      <c r="AU49" s="36"/>
      <c r="AV49" s="30"/>
      <c r="AY49" s="29"/>
      <c r="AZ49" s="36"/>
      <c r="BA49" s="36"/>
      <c r="BB49" s="36"/>
      <c r="BC49" s="36"/>
      <c r="BD49" s="36"/>
      <c r="BE49" s="36"/>
      <c r="BF49" s="36"/>
      <c r="BG49" s="30"/>
      <c r="BI49" s="161" t="s">
        <v>60</v>
      </c>
      <c r="BJ49" s="161">
        <v>29</v>
      </c>
      <c r="BT49" s="29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0"/>
    </row>
    <row r="50" spans="21:88" s="9" customFormat="1" ht="25.5" x14ac:dyDescent="0.2">
      <c r="U50" s="166"/>
      <c r="V50" s="167"/>
      <c r="W50" s="167"/>
      <c r="X50" s="167"/>
      <c r="Y50" s="167"/>
      <c r="Z50" s="167"/>
      <c r="AA50" s="167"/>
      <c r="AB50" s="168"/>
      <c r="AC50" s="169"/>
      <c r="AD50" s="169" t="s">
        <v>58</v>
      </c>
      <c r="AE50" s="169" t="s">
        <v>57</v>
      </c>
      <c r="AF50" s="169" t="s">
        <v>56</v>
      </c>
      <c r="AG50" s="169" t="s">
        <v>55</v>
      </c>
      <c r="AH50" s="170" t="s">
        <v>54</v>
      </c>
      <c r="AI50" s="36"/>
      <c r="AJ50" s="36"/>
      <c r="AK50" s="30"/>
      <c r="AN50" s="171"/>
      <c r="AO50" s="169" t="s">
        <v>58</v>
      </c>
      <c r="AP50" s="169" t="s">
        <v>57</v>
      </c>
      <c r="AQ50" s="169" t="s">
        <v>56</v>
      </c>
      <c r="AR50" s="169" t="s">
        <v>55</v>
      </c>
      <c r="AS50" s="170" t="s">
        <v>54</v>
      </c>
      <c r="AT50" s="36"/>
      <c r="AU50" s="36"/>
      <c r="AV50" s="30"/>
      <c r="AY50" s="166"/>
      <c r="AZ50" s="167"/>
      <c r="BA50" s="167"/>
      <c r="BB50" s="167"/>
      <c r="BC50" s="167"/>
      <c r="BD50" s="167"/>
      <c r="BE50" s="167"/>
      <c r="BF50" s="167"/>
      <c r="BG50" s="168"/>
      <c r="BI50"/>
      <c r="BJ50"/>
      <c r="BK50"/>
      <c r="BL50"/>
      <c r="BM50"/>
      <c r="BN50"/>
      <c r="BO50"/>
      <c r="BP50"/>
      <c r="BQ50"/>
      <c r="BT50" s="166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8"/>
    </row>
    <row r="51" spans="21:88" ht="13.5" thickBot="1" x14ac:dyDescent="0.25">
      <c r="U51" s="29"/>
      <c r="V51" s="36"/>
      <c r="W51" s="36"/>
      <c r="X51" s="36"/>
      <c r="Y51" s="36"/>
      <c r="Z51" s="36"/>
      <c r="AA51" s="36"/>
      <c r="AB51" s="30"/>
      <c r="AC51" s="158" t="s">
        <v>53</v>
      </c>
      <c r="AD51" s="158">
        <v>2</v>
      </c>
      <c r="AE51" s="158">
        <v>0.62469761886251884</v>
      </c>
      <c r="AF51" s="158">
        <v>0.31234880943125942</v>
      </c>
      <c r="AG51" s="158">
        <v>114.51734930334392</v>
      </c>
      <c r="AH51" s="158">
        <v>6.4770412389275808E-14</v>
      </c>
      <c r="AI51" s="36"/>
      <c r="AJ51" s="36"/>
      <c r="AK51" s="30"/>
      <c r="AN51" s="156" t="s">
        <v>53</v>
      </c>
      <c r="AO51" s="158">
        <v>2</v>
      </c>
      <c r="AP51" s="158">
        <v>9.6034475859742355E-2</v>
      </c>
      <c r="AQ51" s="158">
        <v>4.8017237929871177E-2</v>
      </c>
      <c r="AR51" s="158">
        <v>26.971308860883735</v>
      </c>
      <c r="AS51" s="158">
        <v>4.5554866355165873E-7</v>
      </c>
      <c r="AT51" s="36"/>
      <c r="AU51" s="36"/>
      <c r="AV51" s="30"/>
      <c r="AY51" s="29"/>
      <c r="AZ51" s="36"/>
      <c r="BA51" s="36"/>
      <c r="BB51" s="36"/>
      <c r="BC51" s="36"/>
      <c r="BD51" s="36"/>
      <c r="BE51" s="36"/>
      <c r="BF51" s="36"/>
      <c r="BG51" s="30"/>
      <c r="BI51" t="s">
        <v>59</v>
      </c>
      <c r="BT51" s="29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0"/>
    </row>
    <row r="52" spans="21:88" x14ac:dyDescent="0.2">
      <c r="U52" s="29"/>
      <c r="V52" s="36"/>
      <c r="W52" s="36"/>
      <c r="X52" s="36"/>
      <c r="Y52" s="36"/>
      <c r="Z52" s="36"/>
      <c r="AA52" s="36"/>
      <c r="AB52" s="30"/>
      <c r="AC52" s="158" t="s">
        <v>52</v>
      </c>
      <c r="AD52" s="158">
        <v>27</v>
      </c>
      <c r="AE52" s="158">
        <v>7.3643145828539952E-2</v>
      </c>
      <c r="AF52" s="158">
        <v>2.7275239195755537E-3</v>
      </c>
      <c r="AG52" s="158"/>
      <c r="AH52" s="158"/>
      <c r="AI52" s="36"/>
      <c r="AJ52" s="36"/>
      <c r="AK52" s="30"/>
      <c r="AN52" s="156" t="s">
        <v>52</v>
      </c>
      <c r="AO52" s="158">
        <v>26</v>
      </c>
      <c r="AP52" s="158">
        <v>4.6288008958559099E-2</v>
      </c>
      <c r="AQ52" s="158">
        <v>1.7803080368676576E-3</v>
      </c>
      <c r="AR52" s="158"/>
      <c r="AS52" s="158"/>
      <c r="AT52" s="36"/>
      <c r="AU52" s="36"/>
      <c r="AV52" s="30"/>
      <c r="AY52" s="29"/>
      <c r="AZ52" s="36"/>
      <c r="BA52" s="36"/>
      <c r="BB52" s="36"/>
      <c r="BC52" s="36"/>
      <c r="BD52" s="36"/>
      <c r="BE52" s="36"/>
      <c r="BF52" s="36"/>
      <c r="BG52" s="30"/>
      <c r="BI52" s="169"/>
      <c r="BJ52" s="169" t="s">
        <v>58</v>
      </c>
      <c r="BK52" s="169" t="s">
        <v>57</v>
      </c>
      <c r="BL52" s="169" t="s">
        <v>56</v>
      </c>
      <c r="BM52" s="169" t="s">
        <v>55</v>
      </c>
      <c r="BN52" s="169" t="s">
        <v>54</v>
      </c>
      <c r="BT52" s="29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0"/>
    </row>
    <row r="53" spans="21:88" ht="13.5" thickBot="1" x14ac:dyDescent="0.25">
      <c r="U53" s="29"/>
      <c r="V53" s="36"/>
      <c r="W53" s="36"/>
      <c r="X53" s="36"/>
      <c r="Y53" s="36"/>
      <c r="Z53" s="36"/>
      <c r="AA53" s="36"/>
      <c r="AB53" s="30"/>
      <c r="AC53" s="161" t="s">
        <v>51</v>
      </c>
      <c r="AD53" s="161">
        <v>29</v>
      </c>
      <c r="AE53" s="161">
        <v>0.69834076469105877</v>
      </c>
      <c r="AF53" s="161"/>
      <c r="AG53" s="161"/>
      <c r="AH53" s="161"/>
      <c r="AI53" s="36"/>
      <c r="AJ53" s="36"/>
      <c r="AK53" s="30"/>
      <c r="AN53" s="159" t="s">
        <v>51</v>
      </c>
      <c r="AO53" s="161">
        <v>28</v>
      </c>
      <c r="AP53" s="161">
        <v>0.14232248481830145</v>
      </c>
      <c r="AQ53" s="161"/>
      <c r="AR53" s="161"/>
      <c r="AS53" s="161"/>
      <c r="AT53" s="36"/>
      <c r="AU53" s="36"/>
      <c r="AV53" s="30"/>
      <c r="AY53" s="29"/>
      <c r="AZ53" s="36"/>
      <c r="BA53" s="36"/>
      <c r="BB53" s="36"/>
      <c r="BC53" s="36"/>
      <c r="BD53" s="36"/>
      <c r="BE53" s="36"/>
      <c r="BF53" s="36"/>
      <c r="BG53" s="30"/>
      <c r="BI53" s="158" t="s">
        <v>53</v>
      </c>
      <c r="BJ53" s="158">
        <v>3</v>
      </c>
      <c r="BK53" s="172">
        <v>0.11164056286433001</v>
      </c>
      <c r="BL53" s="172">
        <v>3.7213520954776667E-2</v>
      </c>
      <c r="BM53" s="173">
        <v>30.322025630111952</v>
      </c>
      <c r="BN53" s="165">
        <v>1.7192805361577078E-8</v>
      </c>
      <c r="BT53" s="29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0"/>
    </row>
    <row r="54" spans="21:88" ht="13.5" thickBot="1" x14ac:dyDescent="0.25">
      <c r="U54" s="29"/>
      <c r="V54" s="36"/>
      <c r="W54" s="36"/>
      <c r="X54" s="36"/>
      <c r="Y54" s="36"/>
      <c r="Z54" s="36"/>
      <c r="AA54" s="36"/>
      <c r="AB54" s="30"/>
      <c r="AC54" s="36"/>
      <c r="AD54" s="36"/>
      <c r="AE54" s="36"/>
      <c r="AF54" s="36"/>
      <c r="AG54" s="36"/>
      <c r="AH54" s="36"/>
      <c r="AI54" s="36"/>
      <c r="AJ54" s="36"/>
      <c r="AK54" s="30"/>
      <c r="AN54" s="29"/>
      <c r="AO54" s="36"/>
      <c r="AP54" s="36"/>
      <c r="AQ54" s="36"/>
      <c r="AR54" s="36"/>
      <c r="AS54" s="36"/>
      <c r="AT54" s="36"/>
      <c r="AU54" s="36"/>
      <c r="AV54" s="30"/>
      <c r="AY54" s="29"/>
      <c r="AZ54" s="36"/>
      <c r="BA54" s="36"/>
      <c r="BB54" s="36"/>
      <c r="BC54" s="36"/>
      <c r="BD54" s="36"/>
      <c r="BE54" s="36"/>
      <c r="BF54" s="36"/>
      <c r="BG54" s="30"/>
      <c r="BI54" s="158" t="s">
        <v>52</v>
      </c>
      <c r="BJ54" s="158">
        <v>25</v>
      </c>
      <c r="BK54" s="172">
        <v>3.0681921953971441E-2</v>
      </c>
      <c r="BL54" s="172">
        <v>1.2272768781588577E-3</v>
      </c>
      <c r="BM54" s="172"/>
      <c r="BN54" s="158"/>
      <c r="BT54" s="29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0"/>
    </row>
    <row r="55" spans="21:88" s="9" customFormat="1" ht="13.5" thickBot="1" x14ac:dyDescent="0.25">
      <c r="U55" s="166"/>
      <c r="V55" s="167"/>
      <c r="W55" s="167"/>
      <c r="X55" s="167"/>
      <c r="Y55" s="167"/>
      <c r="Z55" s="167"/>
      <c r="AA55" s="167"/>
      <c r="AB55" s="168"/>
      <c r="AC55" s="169"/>
      <c r="AD55" s="169" t="s">
        <v>50</v>
      </c>
      <c r="AE55" s="169" t="s">
        <v>49</v>
      </c>
      <c r="AF55" s="169" t="s">
        <v>48</v>
      </c>
      <c r="AG55" s="169" t="s">
        <v>47</v>
      </c>
      <c r="AH55" s="169" t="s">
        <v>46</v>
      </c>
      <c r="AI55" s="169" t="s">
        <v>45</v>
      </c>
      <c r="AJ55" s="169" t="s">
        <v>44</v>
      </c>
      <c r="AK55" s="174" t="s">
        <v>43</v>
      </c>
      <c r="AN55" s="171"/>
      <c r="AO55" s="169" t="s">
        <v>50</v>
      </c>
      <c r="AP55" s="169" t="s">
        <v>49</v>
      </c>
      <c r="AQ55" s="169" t="s">
        <v>48</v>
      </c>
      <c r="AR55" s="169" t="s">
        <v>47</v>
      </c>
      <c r="AS55" s="169" t="s">
        <v>46</v>
      </c>
      <c r="AT55" s="169" t="s">
        <v>45</v>
      </c>
      <c r="AU55" s="169" t="s">
        <v>44</v>
      </c>
      <c r="AV55" s="174" t="s">
        <v>43</v>
      </c>
      <c r="AY55" s="166"/>
      <c r="AZ55" s="167"/>
      <c r="BA55" s="167"/>
      <c r="BB55" s="167"/>
      <c r="BC55" s="167"/>
      <c r="BD55" s="167"/>
      <c r="BE55" s="167"/>
      <c r="BF55" s="167"/>
      <c r="BG55" s="168"/>
      <c r="BI55" s="161" t="s">
        <v>51</v>
      </c>
      <c r="BJ55" s="161">
        <v>28</v>
      </c>
      <c r="BK55" s="175">
        <v>0.14232248481830145</v>
      </c>
      <c r="BL55" s="175"/>
      <c r="BM55" s="175"/>
      <c r="BN55" s="161"/>
      <c r="BO55"/>
      <c r="BP55"/>
      <c r="BQ55"/>
      <c r="BT55" s="166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8"/>
    </row>
    <row r="56" spans="21:88" ht="13.5" thickBot="1" x14ac:dyDescent="0.25">
      <c r="U56" s="29"/>
      <c r="V56" s="36"/>
      <c r="W56" s="36"/>
      <c r="X56" s="36"/>
      <c r="Y56" s="36"/>
      <c r="Z56" s="36"/>
      <c r="AA56" s="36"/>
      <c r="AB56" s="30"/>
      <c r="AC56" s="158" t="s">
        <v>42</v>
      </c>
      <c r="AD56" s="158">
        <v>-22.13516495094968</v>
      </c>
      <c r="AE56" s="158">
        <v>5.7605876201798365</v>
      </c>
      <c r="AF56" s="158">
        <v>-3.8425185780367759</v>
      </c>
      <c r="AG56" s="158">
        <v>6.7031442813748996E-4</v>
      </c>
      <c r="AH56" s="158">
        <v>-33.954914422893211</v>
      </c>
      <c r="AI56" s="158">
        <v>-10.315415479006145</v>
      </c>
      <c r="AJ56" s="158">
        <v>-33.954914422893211</v>
      </c>
      <c r="AK56" s="176">
        <v>-10.315415479006145</v>
      </c>
      <c r="AN56" s="156" t="s">
        <v>42</v>
      </c>
      <c r="AO56" s="158">
        <v>-12.251360269952846</v>
      </c>
      <c r="AP56" s="158">
        <v>3.8396516472452857</v>
      </c>
      <c r="AQ56" s="158">
        <v>-3.19074785827054</v>
      </c>
      <c r="AR56" s="158">
        <v>3.6862894850324284E-3</v>
      </c>
      <c r="AS56" s="158">
        <v>-20.14387726499913</v>
      </c>
      <c r="AT56" s="158">
        <v>-4.3588432749065609</v>
      </c>
      <c r="AU56" s="158">
        <v>-20.14387726499913</v>
      </c>
      <c r="AV56" s="176">
        <v>-4.3588432749065609</v>
      </c>
      <c r="AY56" s="29"/>
      <c r="AZ56" s="36"/>
      <c r="BA56" s="36"/>
      <c r="BB56" s="36"/>
      <c r="BC56" s="36"/>
      <c r="BD56" s="36"/>
      <c r="BE56" s="36"/>
      <c r="BF56" s="36"/>
      <c r="BG56" s="30"/>
      <c r="BT56" s="29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0"/>
    </row>
    <row r="57" spans="21:88" x14ac:dyDescent="0.2">
      <c r="U57" s="29"/>
      <c r="V57" s="36"/>
      <c r="W57" s="36"/>
      <c r="X57" s="36"/>
      <c r="Y57" s="36"/>
      <c r="Z57" s="36"/>
      <c r="AA57" s="36"/>
      <c r="AB57" s="30"/>
      <c r="AC57" s="158" t="s">
        <v>118</v>
      </c>
      <c r="AD57" s="158">
        <v>1.3318132091761792</v>
      </c>
      <c r="AE57" s="158">
        <v>0.34822740702066346</v>
      </c>
      <c r="AF57" s="158">
        <v>3.8245502287450646</v>
      </c>
      <c r="AG57" s="158">
        <v>7.0269158394806294E-4</v>
      </c>
      <c r="AH57" s="158">
        <v>0.61730958877638054</v>
      </c>
      <c r="AI57" s="158">
        <v>2.0463168295759777</v>
      </c>
      <c r="AJ57" s="158">
        <v>0.61730958877638054</v>
      </c>
      <c r="AK57" s="176">
        <v>2.0463168295759777</v>
      </c>
      <c r="AN57" s="156" t="s">
        <v>115</v>
      </c>
      <c r="AO57" s="158">
        <v>0.71893000916473782</v>
      </c>
      <c r="AP57" s="158">
        <v>0.51625051818968926</v>
      </c>
      <c r="AQ57" s="158">
        <v>1.3925991041825487</v>
      </c>
      <c r="AR57" s="158">
        <v>0.17553691526727164</v>
      </c>
      <c r="AS57" s="158">
        <v>-0.34223812868880643</v>
      </c>
      <c r="AT57" s="158">
        <v>1.7800981470182822</v>
      </c>
      <c r="AU57" s="158">
        <v>-0.34223812868880643</v>
      </c>
      <c r="AV57" s="176">
        <v>1.7800981470182822</v>
      </c>
      <c r="AY57" s="29"/>
      <c r="AZ57" s="36"/>
      <c r="BA57" s="36"/>
      <c r="BB57" s="36"/>
      <c r="BC57" s="36"/>
      <c r="BD57" s="36"/>
      <c r="BE57" s="36"/>
      <c r="BF57" s="36"/>
      <c r="BG57" s="30"/>
      <c r="BI57" s="169"/>
      <c r="BJ57" s="169" t="s">
        <v>50</v>
      </c>
      <c r="BK57" s="169" t="s">
        <v>49</v>
      </c>
      <c r="BL57" s="169" t="s">
        <v>48</v>
      </c>
      <c r="BM57" s="169" t="s">
        <v>47</v>
      </c>
      <c r="BN57" s="169" t="s">
        <v>46</v>
      </c>
      <c r="BO57" s="169" t="s">
        <v>45</v>
      </c>
      <c r="BP57" s="169" t="s">
        <v>44</v>
      </c>
      <c r="BQ57" s="169" t="s">
        <v>43</v>
      </c>
      <c r="BT57" s="29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0"/>
    </row>
    <row r="58" spans="21:88" ht="13.5" thickBot="1" x14ac:dyDescent="0.25">
      <c r="U58" s="29"/>
      <c r="V58" s="36"/>
      <c r="W58" s="36"/>
      <c r="X58" s="36"/>
      <c r="Y58" s="36"/>
      <c r="Z58" s="36"/>
      <c r="AA58" s="36"/>
      <c r="AB58" s="30"/>
      <c r="AC58" s="161" t="s">
        <v>119</v>
      </c>
      <c r="AD58" s="161">
        <v>2.8710394709671205</v>
      </c>
      <c r="AE58" s="161">
        <v>1.0424703555771535</v>
      </c>
      <c r="AF58" s="161">
        <v>2.7540730109083991</v>
      </c>
      <c r="AG58" s="161">
        <v>1.040266129110501E-2</v>
      </c>
      <c r="AH58" s="161">
        <v>0.73206698286786231</v>
      </c>
      <c r="AI58" s="161">
        <v>5.0100119590663788</v>
      </c>
      <c r="AJ58" s="161">
        <v>0.73206698286786231</v>
      </c>
      <c r="AK58" s="177">
        <v>5.0100119590663788</v>
      </c>
      <c r="AN58" s="159" t="s">
        <v>116</v>
      </c>
      <c r="AO58" s="161">
        <v>3.7536431459667181</v>
      </c>
      <c r="AP58" s="161">
        <v>1.4352992903561772</v>
      </c>
      <c r="AQ58" s="161">
        <v>2.6152337503317731</v>
      </c>
      <c r="AR58" s="161">
        <v>1.464626826749808E-2</v>
      </c>
      <c r="AS58" s="161">
        <v>0.80334320137637105</v>
      </c>
      <c r="AT58" s="161">
        <v>6.7039430905570647</v>
      </c>
      <c r="AU58" s="161">
        <v>0.80334320137637105</v>
      </c>
      <c r="AV58" s="177">
        <v>6.7039430905570647</v>
      </c>
      <c r="AY58" s="29"/>
      <c r="AZ58" s="36"/>
      <c r="BA58" s="36"/>
      <c r="BB58" s="36"/>
      <c r="BC58" s="36"/>
      <c r="BD58" s="36"/>
      <c r="BE58" s="36"/>
      <c r="BF58" s="36"/>
      <c r="BG58" s="30"/>
      <c r="BI58" s="158" t="s">
        <v>42</v>
      </c>
      <c r="BJ58" s="157">
        <v>-13.150869005049829</v>
      </c>
      <c r="BK58" s="157">
        <v>3.1979435773370675</v>
      </c>
      <c r="BL58" s="157">
        <v>-4.1122892530832509</v>
      </c>
      <c r="BM58" s="157">
        <v>3.7114420779644515E-4</v>
      </c>
      <c r="BN58" s="157">
        <v>-19.737157092105317</v>
      </c>
      <c r="BO58" s="157">
        <v>-6.5645809179943422</v>
      </c>
      <c r="BP58" s="157">
        <v>-19.737157092105317</v>
      </c>
      <c r="BQ58" s="157">
        <v>-6.5645809179943422</v>
      </c>
      <c r="BT58" s="29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0"/>
    </row>
    <row r="59" spans="21:88" x14ac:dyDescent="0.2">
      <c r="U59" s="29"/>
      <c r="V59" s="36"/>
      <c r="W59" s="36"/>
      <c r="X59" s="36"/>
      <c r="Y59" s="36"/>
      <c r="Z59" s="36"/>
      <c r="AA59" s="36"/>
      <c r="AB59" s="30"/>
      <c r="AY59" s="29"/>
      <c r="AZ59" s="36"/>
      <c r="BA59" s="36"/>
      <c r="BB59" s="36"/>
      <c r="BC59" s="36"/>
      <c r="BD59" s="36"/>
      <c r="BE59" s="36"/>
      <c r="BF59" s="36"/>
      <c r="BG59" s="30"/>
      <c r="BI59" s="158" t="s">
        <v>115</v>
      </c>
      <c r="BJ59" s="157">
        <v>1.3479944102397543</v>
      </c>
      <c r="BK59" s="157">
        <v>0.46351375491702529</v>
      </c>
      <c r="BL59" s="157">
        <v>2.908208000172642</v>
      </c>
      <c r="BM59" s="157">
        <v>7.5196455824327046E-3</v>
      </c>
      <c r="BN59" s="157">
        <v>0.39336996225669729</v>
      </c>
      <c r="BO59" s="157">
        <v>2.3026188582228113</v>
      </c>
      <c r="BP59" s="157">
        <v>0.39336996225669729</v>
      </c>
      <c r="BQ59" s="157">
        <v>2.3026188582228113</v>
      </c>
      <c r="BT59" s="29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0"/>
    </row>
    <row r="60" spans="21:88" x14ac:dyDescent="0.2">
      <c r="U60" s="29"/>
      <c r="V60" s="36"/>
      <c r="W60" s="36"/>
      <c r="X60" s="36"/>
      <c r="Y60" s="36"/>
      <c r="Z60" s="36"/>
      <c r="AA60" s="36"/>
      <c r="AB60" s="30"/>
      <c r="AY60" s="29"/>
      <c r="AZ60" s="36"/>
      <c r="BA60" s="36"/>
      <c r="BB60" s="36"/>
      <c r="BC60" s="36"/>
      <c r="BD60" s="36"/>
      <c r="BE60" s="36"/>
      <c r="BF60" s="36"/>
      <c r="BG60" s="30"/>
      <c r="BI60" s="158" t="s">
        <v>116</v>
      </c>
      <c r="BJ60" s="157">
        <v>3.6060361353677672</v>
      </c>
      <c r="BK60" s="157">
        <v>1.1924165687609092</v>
      </c>
      <c r="BL60" s="157">
        <v>3.0241412521757836</v>
      </c>
      <c r="BM60" s="157">
        <v>5.6974838936889411E-3</v>
      </c>
      <c r="BN60" s="157">
        <v>1.1502082410628711</v>
      </c>
      <c r="BO60" s="157">
        <v>6.0618640296726634</v>
      </c>
      <c r="BP60" s="157">
        <v>1.1502082410628711</v>
      </c>
      <c r="BQ60" s="157">
        <v>6.0618640296726634</v>
      </c>
      <c r="BT60" s="29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0"/>
    </row>
    <row r="61" spans="21:88" ht="13.5" thickBot="1" x14ac:dyDescent="0.25">
      <c r="U61" s="29"/>
      <c r="V61" s="36"/>
      <c r="W61" s="36"/>
      <c r="X61" s="36"/>
      <c r="Y61" s="36"/>
      <c r="Z61" s="36"/>
      <c r="AA61" s="36"/>
      <c r="AB61" s="30"/>
      <c r="AY61" s="29"/>
      <c r="AZ61" s="36"/>
      <c r="BA61" s="36"/>
      <c r="BB61" s="36"/>
      <c r="BC61" s="36"/>
      <c r="BD61" s="36"/>
      <c r="BE61" s="36"/>
      <c r="BF61" s="36"/>
      <c r="BG61" s="30"/>
      <c r="BI61" s="161" t="s">
        <v>113</v>
      </c>
      <c r="BJ61" s="160">
        <v>-7.5891498189062906E-2</v>
      </c>
      <c r="BK61" s="160">
        <v>2.1282242655229325E-2</v>
      </c>
      <c r="BL61" s="160">
        <v>-3.5659539935945319</v>
      </c>
      <c r="BM61" s="160">
        <v>1.4958274950170906E-3</v>
      </c>
      <c r="BN61" s="160">
        <v>-0.1197230974265584</v>
      </c>
      <c r="BO61" s="160">
        <v>-3.2059898951567405E-2</v>
      </c>
      <c r="BP61" s="160">
        <v>-0.1197230974265584</v>
      </c>
      <c r="BQ61" s="160">
        <v>-3.2059898951567405E-2</v>
      </c>
      <c r="BT61" s="29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0"/>
    </row>
    <row r="62" spans="21:88" ht="13.5" thickBot="1" x14ac:dyDescent="0.25">
      <c r="U62" s="29"/>
      <c r="V62" s="36"/>
      <c r="W62" s="36"/>
      <c r="X62" s="36"/>
      <c r="Y62" s="36"/>
      <c r="Z62" s="36"/>
      <c r="AA62" s="36"/>
      <c r="AB62" s="36"/>
      <c r="AC62" s="34" t="s">
        <v>39</v>
      </c>
      <c r="AD62" s="35"/>
      <c r="AE62" s="35"/>
      <c r="AF62" s="235" t="s">
        <v>120</v>
      </c>
      <c r="AG62" s="237"/>
      <c r="AH62" s="178" t="s">
        <v>121</v>
      </c>
      <c r="AN62" s="34" t="s">
        <v>39</v>
      </c>
      <c r="AO62" s="35"/>
      <c r="AP62" s="35"/>
      <c r="AQ62" s="235" t="s">
        <v>120</v>
      </c>
      <c r="AR62" s="237"/>
      <c r="AY62" s="29"/>
      <c r="AZ62" s="36"/>
      <c r="BA62" s="36"/>
      <c r="BB62" s="36"/>
      <c r="BC62" s="36"/>
      <c r="BD62" s="36"/>
      <c r="BE62" s="36"/>
      <c r="BF62" s="36"/>
      <c r="BG62" s="30"/>
      <c r="BT62" s="29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0"/>
    </row>
    <row r="63" spans="21:88" ht="13.5" thickBot="1" x14ac:dyDescent="0.25">
      <c r="U63" s="29"/>
      <c r="V63" s="36"/>
      <c r="W63" s="36"/>
      <c r="X63" s="36"/>
      <c r="Y63" s="36"/>
      <c r="Z63" s="36"/>
      <c r="AA63" s="36"/>
      <c r="AB63" s="36"/>
      <c r="AC63" s="29"/>
      <c r="AD63" s="36"/>
      <c r="AE63" s="36"/>
      <c r="AF63" s="179">
        <f>AF64/AG64</f>
        <v>0.89508191904596857</v>
      </c>
      <c r="AG63" s="180"/>
      <c r="AH63" s="181">
        <f>AH64/AG64</f>
        <v>0.51721575375724105</v>
      </c>
      <c r="AN63" s="29"/>
      <c r="AO63" s="36"/>
      <c r="AP63" s="36"/>
      <c r="AQ63" s="179">
        <f>AQ64/AR64</f>
        <v>1.5773311669463757</v>
      </c>
      <c r="AR63" s="182"/>
      <c r="AY63" s="29"/>
      <c r="AZ63" s="36"/>
      <c r="BA63" s="36"/>
      <c r="BB63" s="36"/>
      <c r="BC63" s="36"/>
      <c r="BD63" s="36"/>
      <c r="BE63" s="36"/>
      <c r="BF63" s="36"/>
      <c r="BG63" s="30"/>
      <c r="BT63" s="29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0"/>
    </row>
    <row r="64" spans="21:88" s="9" customFormat="1" ht="13.5" thickBot="1" x14ac:dyDescent="0.25">
      <c r="U64" s="166"/>
      <c r="V64" s="167"/>
      <c r="W64" s="167"/>
      <c r="X64" s="167"/>
      <c r="Y64" s="167"/>
      <c r="Z64" s="167"/>
      <c r="AA64" s="167"/>
      <c r="AB64" s="167"/>
      <c r="AC64" s="171" t="s">
        <v>37</v>
      </c>
      <c r="AD64" s="169" t="s">
        <v>122</v>
      </c>
      <c r="AE64" s="169" t="s">
        <v>35</v>
      </c>
      <c r="AF64" s="183">
        <f>SUM(AF65:AF94)</f>
        <v>6.5916648292792202E-2</v>
      </c>
      <c r="AG64" s="183">
        <f>SUM(AG65:AG94)</f>
        <v>7.3643145828540563E-2</v>
      </c>
      <c r="AH64" s="183">
        <f>SUM(AH65:AH94)</f>
        <v>3.808939517876303E-2</v>
      </c>
      <c r="AI64"/>
      <c r="AJ64"/>
      <c r="AK64"/>
      <c r="AN64" s="171" t="s">
        <v>37</v>
      </c>
      <c r="AO64" s="169" t="s">
        <v>122</v>
      </c>
      <c r="AP64" s="169" t="s">
        <v>35</v>
      </c>
      <c r="AQ64" s="183">
        <f>SUM(AQ65:AQ93)</f>
        <v>7.3011519186227766E-2</v>
      </c>
      <c r="AR64" s="183">
        <f>SUM(AR65:AR93)</f>
        <v>4.6288008958558752E-2</v>
      </c>
      <c r="AS64"/>
      <c r="AU64" s="11" t="s">
        <v>114</v>
      </c>
      <c r="AV64" s="11" t="s">
        <v>73</v>
      </c>
      <c r="AY64" s="166"/>
      <c r="AZ64" s="167"/>
      <c r="BA64" s="167"/>
      <c r="BB64" s="167"/>
      <c r="BC64" s="167"/>
      <c r="BD64" s="167"/>
      <c r="BE64" s="167"/>
      <c r="BF64" s="167"/>
      <c r="BG64" s="168"/>
      <c r="BI64"/>
      <c r="BJ64"/>
      <c r="BK64"/>
      <c r="BL64"/>
      <c r="BM64"/>
      <c r="BN64"/>
      <c r="BO64"/>
      <c r="BP64"/>
      <c r="BQ64"/>
      <c r="BT64" s="166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8"/>
    </row>
    <row r="65" spans="21:88" ht="13.5" thickBot="1" x14ac:dyDescent="0.25">
      <c r="U65" s="29"/>
      <c r="V65" s="36"/>
      <c r="W65" s="36"/>
      <c r="X65" s="36"/>
      <c r="Y65" s="36"/>
      <c r="Z65" s="36"/>
      <c r="AA65" s="36"/>
      <c r="AB65" s="36"/>
      <c r="AC65" s="156">
        <v>1</v>
      </c>
      <c r="AD65" s="158">
        <v>3.4925222076388671</v>
      </c>
      <c r="AE65" s="158">
        <v>-6.0747544090347549E-2</v>
      </c>
      <c r="AF65" s="34"/>
      <c r="AG65" s="184">
        <f t="shared" ref="AG65:AG94" si="19">AE65^2</f>
        <v>3.6902641130087195E-3</v>
      </c>
      <c r="AH65" s="30"/>
      <c r="AN65" s="156">
        <v>1</v>
      </c>
      <c r="AO65" s="158">
        <v>1.7201631095252523</v>
      </c>
      <c r="AP65" s="158">
        <v>-1.7142864887014442E-2</v>
      </c>
      <c r="AQ65" s="34"/>
      <c r="AR65" s="184">
        <f t="shared" ref="AR65:AR93" si="20">AP65^2</f>
        <v>2.9387781653443268E-4</v>
      </c>
      <c r="AU65">
        <f t="shared" ref="AU65:AU93" si="21">AO65/(1-$AH$63)</f>
        <v>3.5630058828810682</v>
      </c>
      <c r="AV65" s="185">
        <f>10^AU65</f>
        <v>3655.9974393311695</v>
      </c>
      <c r="AY65" s="29"/>
      <c r="AZ65" s="36"/>
      <c r="BA65" s="36"/>
      <c r="BB65" s="36"/>
      <c r="BC65" s="36"/>
      <c r="BD65" s="36"/>
      <c r="BE65" s="36"/>
      <c r="BF65" s="36"/>
      <c r="BG65" s="30"/>
      <c r="BI65" t="s">
        <v>39</v>
      </c>
      <c r="BL65" s="235" t="s">
        <v>120</v>
      </c>
      <c r="BM65" s="237"/>
      <c r="BT65" s="29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0"/>
    </row>
    <row r="66" spans="21:88" ht="13.5" thickBot="1" x14ac:dyDescent="0.25">
      <c r="U66" s="29"/>
      <c r="V66" s="36"/>
      <c r="W66" s="36"/>
      <c r="X66" s="36"/>
      <c r="Y66" s="36"/>
      <c r="Z66" s="36"/>
      <c r="AA66" s="36"/>
      <c r="AB66" s="36"/>
      <c r="AC66" s="156">
        <v>2</v>
      </c>
      <c r="AD66" s="158">
        <v>3.5002468944696972</v>
      </c>
      <c r="AE66" s="158">
        <v>-2.2258730499209456E-2</v>
      </c>
      <c r="AF66" s="186">
        <f t="shared" ref="AF66:AF94" si="22">(AE66-AE65)^2</f>
        <v>1.4813887716533763E-3</v>
      </c>
      <c r="AG66" s="187">
        <f t="shared" si="19"/>
        <v>4.9545108343643728E-4</v>
      </c>
      <c r="AH66" s="188">
        <f t="shared" ref="AH66:AH94" si="23">AE66*AE65</f>
        <v>1.3521632123958901E-3</v>
      </c>
      <c r="AN66" s="156">
        <v>2</v>
      </c>
      <c r="AO66" s="158">
        <v>1.7274087542594625</v>
      </c>
      <c r="AP66" s="158">
        <v>-1.4408310727502815E-3</v>
      </c>
      <c r="AQ66" s="186">
        <f t="shared" ref="AQ66:AQ93" si="24">(AP66-AP65)^2</f>
        <v>2.4655386590429509E-4</v>
      </c>
      <c r="AR66" s="187">
        <f t="shared" si="20"/>
        <v>2.0759941802027269E-6</v>
      </c>
      <c r="AS66" s="189"/>
      <c r="AU66">
        <f t="shared" si="21"/>
        <v>3.5780139217526736</v>
      </c>
      <c r="AV66" s="185">
        <f t="shared" ref="AV66:AV93" si="25">10^AU66</f>
        <v>3784.5471627466814</v>
      </c>
      <c r="AY66" s="29"/>
      <c r="AZ66" s="36"/>
      <c r="BA66" s="36"/>
      <c r="BB66" s="36"/>
      <c r="BC66" s="36"/>
      <c r="BD66" s="36"/>
      <c r="BE66" s="36"/>
      <c r="BF66" s="36"/>
      <c r="BG66" s="30"/>
      <c r="BL66" s="179">
        <f>BL67/BM67</f>
        <v>2.2083543879902021</v>
      </c>
      <c r="BM66" s="190"/>
      <c r="BT66" s="29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0"/>
    </row>
    <row r="67" spans="21:88" ht="13.5" thickBot="1" x14ac:dyDescent="0.25">
      <c r="U67" s="29"/>
      <c r="V67" s="36"/>
      <c r="W67" s="36"/>
      <c r="X67" s="36"/>
      <c r="Y67" s="36"/>
      <c r="Z67" s="36"/>
      <c r="AA67" s="36"/>
      <c r="AB67" s="36"/>
      <c r="AC67" s="156">
        <v>3</v>
      </c>
      <c r="AD67" s="158">
        <v>3.5156244384339672</v>
      </c>
      <c r="AE67" s="158">
        <v>9.2137545395036824E-3</v>
      </c>
      <c r="AF67" s="186">
        <f t="shared" si="22"/>
        <v>9.9051731451202233E-4</v>
      </c>
      <c r="AG67" s="187">
        <f t="shared" si="19"/>
        <v>8.4893272714224713E-5</v>
      </c>
      <c r="AH67" s="188">
        <f t="shared" si="23"/>
        <v>-2.0508647918068018E-4</v>
      </c>
      <c r="AN67" s="156">
        <v>3</v>
      </c>
      <c r="AO67" s="158">
        <v>1.7480415612361035</v>
      </c>
      <c r="AP67" s="158">
        <v>-1.0377182056391376E-2</v>
      </c>
      <c r="AQ67" s="186">
        <f t="shared" si="24"/>
        <v>7.9858368902823159E-5</v>
      </c>
      <c r="AR67" s="187">
        <f t="shared" si="20"/>
        <v>1.0768590743149115E-4</v>
      </c>
      <c r="AS67" s="189"/>
      <c r="AU67">
        <f t="shared" si="21"/>
        <v>3.6207510390824429</v>
      </c>
      <c r="AV67" s="185">
        <f t="shared" si="25"/>
        <v>4175.9091248456107</v>
      </c>
      <c r="AY67" s="29"/>
      <c r="AZ67" s="36"/>
      <c r="BA67" s="36"/>
      <c r="BB67" s="36"/>
      <c r="BC67" s="36"/>
      <c r="BD67" s="36"/>
      <c r="BE67" s="36"/>
      <c r="BF67" s="36"/>
      <c r="BG67" s="30"/>
      <c r="BI67" s="169" t="s">
        <v>37</v>
      </c>
      <c r="BJ67" s="169" t="s">
        <v>122</v>
      </c>
      <c r="BK67" s="169" t="s">
        <v>35</v>
      </c>
      <c r="BL67" s="183">
        <f>SUM(BL68:BL96)</f>
        <v>6.7756556979026245E-2</v>
      </c>
      <c r="BM67" s="183">
        <f>SUM(BM68:BM96)</f>
        <v>3.0681921953971666E-2</v>
      </c>
      <c r="BT67" s="29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0"/>
    </row>
    <row r="68" spans="21:88" x14ac:dyDescent="0.2">
      <c r="U68" s="29"/>
      <c r="V68" s="36"/>
      <c r="W68" s="36"/>
      <c r="X68" s="36"/>
      <c r="Y68" s="36"/>
      <c r="Z68" s="36"/>
      <c r="AA68" s="36"/>
      <c r="AB68" s="36"/>
      <c r="AC68" s="156">
        <v>4</v>
      </c>
      <c r="AD68" s="158">
        <v>3.5478422467312498</v>
      </c>
      <c r="AE68" s="158">
        <v>1.2923975299547585E-2</v>
      </c>
      <c r="AF68" s="186">
        <f t="shared" si="22"/>
        <v>1.3765738088260757E-5</v>
      </c>
      <c r="AG68" s="187">
        <f t="shared" si="19"/>
        <v>1.6702913754331611E-4</v>
      </c>
      <c r="AH68" s="188">
        <f t="shared" si="23"/>
        <v>1.1907833608464003E-4</v>
      </c>
      <c r="AN68" s="156">
        <v>4</v>
      </c>
      <c r="AO68" s="158">
        <v>1.7629084138049986</v>
      </c>
      <c r="AP68" s="158">
        <v>-3.3319595431185123E-2</v>
      </c>
      <c r="AQ68" s="186">
        <f t="shared" si="24"/>
        <v>5.26354331459915E-4</v>
      </c>
      <c r="AR68" s="187">
        <f t="shared" si="20"/>
        <v>1.1101954396978526E-3</v>
      </c>
      <c r="AS68" s="189"/>
      <c r="AU68">
        <f t="shared" si="21"/>
        <v>3.6515450276696755</v>
      </c>
      <c r="AV68" s="185">
        <f t="shared" si="25"/>
        <v>4482.7552481210105</v>
      </c>
      <c r="AY68" s="29"/>
      <c r="AZ68" s="36"/>
      <c r="BA68" s="36"/>
      <c r="BB68" s="36"/>
      <c r="BC68" s="36"/>
      <c r="BD68" s="36"/>
      <c r="BE68" s="36"/>
      <c r="BF68" s="36"/>
      <c r="BG68" s="30"/>
      <c r="BI68" s="158">
        <v>1</v>
      </c>
      <c r="BJ68" s="158">
        <v>1.6953261888925883</v>
      </c>
      <c r="BK68" s="158">
        <v>7.6940557456495196E-3</v>
      </c>
      <c r="BL68" s="34"/>
      <c r="BM68" s="184">
        <f t="shared" ref="BM68:BM96" si="26">BK68^2</f>
        <v>5.9198493817162385E-5</v>
      </c>
      <c r="BT68" s="29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0"/>
    </row>
    <row r="69" spans="21:88" x14ac:dyDescent="0.2">
      <c r="U69" s="29"/>
      <c r="V69" s="36"/>
      <c r="W69" s="36"/>
      <c r="X69" s="36"/>
      <c r="Y69" s="36"/>
      <c r="Z69" s="36"/>
      <c r="AA69" s="36"/>
      <c r="AB69" s="36"/>
      <c r="AC69" s="156">
        <v>5</v>
      </c>
      <c r="AD69" s="158">
        <v>3.5881130101590806</v>
      </c>
      <c r="AE69" s="158">
        <v>-1.6839806304284721E-2</v>
      </c>
      <c r="AF69" s="186">
        <f t="shared" si="22"/>
        <v>8.8588269536062645E-4</v>
      </c>
      <c r="AG69" s="187">
        <f t="shared" si="19"/>
        <v>2.8357907636582746E-4</v>
      </c>
      <c r="AH69" s="188">
        <f t="shared" si="23"/>
        <v>-2.1763724072574144E-4</v>
      </c>
      <c r="AN69" s="156">
        <v>5</v>
      </c>
      <c r="AO69" s="158">
        <v>1.7650951156703041</v>
      </c>
      <c r="AP69" s="158">
        <v>1.9562742956557688E-2</v>
      </c>
      <c r="AQ69" s="186">
        <f t="shared" si="24"/>
        <v>2.7965417133557369E-3</v>
      </c>
      <c r="AR69" s="187">
        <f t="shared" si="20"/>
        <v>3.8270091198434745E-4</v>
      </c>
      <c r="AS69" s="189"/>
      <c r="AU69">
        <f t="shared" si="21"/>
        <v>3.6560743839656262</v>
      </c>
      <c r="AV69" s="185">
        <f t="shared" si="25"/>
        <v>4529.7515676580742</v>
      </c>
      <c r="AY69" s="29"/>
      <c r="AZ69" s="36"/>
      <c r="BA69" s="36"/>
      <c r="BB69" s="36"/>
      <c r="BC69" s="36"/>
      <c r="BD69" s="36"/>
      <c r="BE69" s="36"/>
      <c r="BF69" s="36"/>
      <c r="BG69" s="30"/>
      <c r="BI69" s="158">
        <v>2</v>
      </c>
      <c r="BJ69" s="158">
        <v>1.7071965825661337</v>
      </c>
      <c r="BK69" s="158">
        <v>1.8771340620578503E-2</v>
      </c>
      <c r="BL69" s="186">
        <f t="shared" ref="BL69:BL96" si="27">(BK69-BK68)^2</f>
        <v>1.2270624020033042E-4</v>
      </c>
      <c r="BM69" s="187">
        <f t="shared" si="26"/>
        <v>3.5236322869378051E-4</v>
      </c>
      <c r="BT69" s="29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0"/>
    </row>
    <row r="70" spans="21:88" x14ac:dyDescent="0.2">
      <c r="U70" s="29"/>
      <c r="V70" s="36"/>
      <c r="W70" s="36"/>
      <c r="X70" s="36"/>
      <c r="Y70" s="36"/>
      <c r="Z70" s="36"/>
      <c r="AA70" s="36"/>
      <c r="AB70" s="36"/>
      <c r="AC70" s="156">
        <v>6</v>
      </c>
      <c r="AD70" s="158">
        <v>3.6106661163920037</v>
      </c>
      <c r="AE70" s="158">
        <v>2.1110504239653327E-2</v>
      </c>
      <c r="AF70" s="186">
        <f t="shared" si="22"/>
        <v>1.4402260703813355E-3</v>
      </c>
      <c r="AG70" s="187">
        <f t="shared" si="19"/>
        <v>4.456533892524211E-4</v>
      </c>
      <c r="AH70" s="188">
        <f t="shared" si="23"/>
        <v>-3.5549680238154344E-4</v>
      </c>
      <c r="AN70" s="156">
        <v>6</v>
      </c>
      <c r="AO70" s="158">
        <v>1.779957993690326</v>
      </c>
      <c r="AP70" s="158">
        <v>-5.9461287636555449E-2</v>
      </c>
      <c r="AQ70" s="186">
        <f t="shared" si="24"/>
        <v>6.2447974111812807E-3</v>
      </c>
      <c r="AR70" s="187">
        <f t="shared" si="20"/>
        <v>3.5356447273971817E-3</v>
      </c>
      <c r="AS70" s="189"/>
      <c r="AU70">
        <f t="shared" si="21"/>
        <v>3.6868601399957606</v>
      </c>
      <c r="AV70" s="185">
        <f t="shared" si="25"/>
        <v>4862.5058854834961</v>
      </c>
      <c r="AY70" s="29"/>
      <c r="AZ70" s="36"/>
      <c r="BA70" s="36"/>
      <c r="BB70" s="36"/>
      <c r="BC70" s="36"/>
      <c r="BD70" s="36"/>
      <c r="BE70" s="36"/>
      <c r="BF70" s="36"/>
      <c r="BG70" s="30"/>
      <c r="BI70" s="158">
        <v>3</v>
      </c>
      <c r="BJ70" s="158">
        <v>1.7341493046559737</v>
      </c>
      <c r="BK70" s="158">
        <v>3.5150745237384484E-3</v>
      </c>
      <c r="BL70" s="186">
        <f t="shared" si="27"/>
        <v>2.3275365521759127E-4</v>
      </c>
      <c r="BM70" s="187">
        <f t="shared" si="26"/>
        <v>1.2355748907435081E-5</v>
      </c>
      <c r="BT70" s="29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0"/>
    </row>
    <row r="71" spans="21:88" x14ac:dyDescent="0.2">
      <c r="U71" s="29"/>
      <c r="V71" s="36"/>
      <c r="W71" s="36"/>
      <c r="X71" s="36"/>
      <c r="Y71" s="36"/>
      <c r="Z71" s="36"/>
      <c r="AA71" s="36"/>
      <c r="AB71" s="36"/>
      <c r="AC71" s="156">
        <v>7</v>
      </c>
      <c r="AD71" s="158">
        <v>3.6434599283865801</v>
      </c>
      <c r="AE71" s="158">
        <v>-4.4551140014881252E-2</v>
      </c>
      <c r="AF71" s="186">
        <f t="shared" si="22"/>
        <v>4.3114515262090538E-3</v>
      </c>
      <c r="AG71" s="187">
        <f t="shared" si="19"/>
        <v>1.9848040766255533E-3</v>
      </c>
      <c r="AH71" s="188">
        <f t="shared" si="23"/>
        <v>-9.4049703016553965E-4</v>
      </c>
      <c r="AN71" s="156">
        <v>7</v>
      </c>
      <c r="AO71" s="158">
        <v>1.7794967628605498</v>
      </c>
      <c r="AP71" s="158">
        <v>6.0408717728532846E-3</v>
      </c>
      <c r="AQ71" s="186">
        <f t="shared" si="24"/>
        <v>4.2905328872955934E-3</v>
      </c>
      <c r="AR71" s="187">
        <f t="shared" si="20"/>
        <v>3.6492131776055585E-5</v>
      </c>
      <c r="AS71" s="189"/>
      <c r="AU71">
        <f t="shared" si="21"/>
        <v>3.6859047839886712</v>
      </c>
      <c r="AV71" s="185">
        <f t="shared" si="25"/>
        <v>4851.8211573330873</v>
      </c>
      <c r="AY71" s="29"/>
      <c r="AZ71" s="36"/>
      <c r="BA71" s="36"/>
      <c r="BB71" s="36"/>
      <c r="BC71" s="36"/>
      <c r="BD71" s="36"/>
      <c r="BE71" s="36"/>
      <c r="BF71" s="36"/>
      <c r="BG71" s="30"/>
      <c r="BI71" s="158">
        <v>4</v>
      </c>
      <c r="BJ71" s="158">
        <v>1.7587178912345731</v>
      </c>
      <c r="BK71" s="158">
        <v>-2.9129072860759608E-2</v>
      </c>
      <c r="BL71" s="186">
        <f t="shared" si="27"/>
        <v>1.0656403584608314E-3</v>
      </c>
      <c r="BM71" s="187">
        <f t="shared" si="26"/>
        <v>8.4850288572744191E-4</v>
      </c>
      <c r="BT71" s="29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0"/>
    </row>
    <row r="72" spans="21:88" x14ac:dyDescent="0.2">
      <c r="U72" s="29"/>
      <c r="V72" s="36"/>
      <c r="W72" s="36"/>
      <c r="X72" s="36"/>
      <c r="Y72" s="36"/>
      <c r="Z72" s="36"/>
      <c r="AA72" s="36"/>
      <c r="AB72" s="36"/>
      <c r="AC72" s="156">
        <v>8</v>
      </c>
      <c r="AD72" s="158">
        <v>3.6613739155479763</v>
      </c>
      <c r="AE72" s="158">
        <v>-1.442395923334594E-2</v>
      </c>
      <c r="AF72" s="186">
        <f t="shared" si="22"/>
        <v>9.0764702184331061E-4</v>
      </c>
      <c r="AG72" s="187">
        <f t="shared" si="19"/>
        <v>2.080505999652256E-4</v>
      </c>
      <c r="AH72" s="188">
        <f t="shared" si="23"/>
        <v>6.4260382737373425E-4</v>
      </c>
      <c r="AN72" s="156">
        <v>8</v>
      </c>
      <c r="AO72" s="158">
        <v>1.787632735260404</v>
      </c>
      <c r="AP72" s="158">
        <v>-3.3686591544968225E-2</v>
      </c>
      <c r="AQ72" s="186">
        <f t="shared" si="24"/>
        <v>1.5782713416688536E-3</v>
      </c>
      <c r="AR72" s="187">
        <f t="shared" si="20"/>
        <v>1.1347864499175247E-3</v>
      </c>
      <c r="AS72" s="189"/>
      <c r="AU72">
        <f t="shared" si="21"/>
        <v>3.7027569751344509</v>
      </c>
      <c r="AV72" s="185">
        <f t="shared" si="25"/>
        <v>5043.7897545203232</v>
      </c>
      <c r="AY72" s="29"/>
      <c r="AZ72" s="36"/>
      <c r="BA72" s="36"/>
      <c r="BB72" s="36"/>
      <c r="BC72" s="36"/>
      <c r="BD72" s="36"/>
      <c r="BE72" s="36"/>
      <c r="BF72" s="36"/>
      <c r="BG72" s="30"/>
      <c r="BI72" s="158">
        <v>5</v>
      </c>
      <c r="BJ72" s="158">
        <v>1.7608622307998836</v>
      </c>
      <c r="BK72" s="158">
        <v>2.3795627826978194E-2</v>
      </c>
      <c r="BL72" s="186">
        <f t="shared" si="27"/>
        <v>2.8010239428866344E-3</v>
      </c>
      <c r="BM72" s="187">
        <f t="shared" si="26"/>
        <v>5.66231903680059E-4</v>
      </c>
      <c r="BT72" s="29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0"/>
    </row>
    <row r="73" spans="21:88" x14ac:dyDescent="0.2">
      <c r="U73" s="29"/>
      <c r="V73" s="36"/>
      <c r="W73" s="36"/>
      <c r="X73" s="36"/>
      <c r="Y73" s="36"/>
      <c r="Z73" s="36"/>
      <c r="AA73" s="36"/>
      <c r="AB73" s="36"/>
      <c r="AC73" s="156">
        <v>9</v>
      </c>
      <c r="AD73" s="158">
        <v>3.688283473896476</v>
      </c>
      <c r="AE73" s="158">
        <v>-4.8077359610831483E-2</v>
      </c>
      <c r="AF73" s="186">
        <f t="shared" si="22"/>
        <v>1.132551356967344E-3</v>
      </c>
      <c r="AG73" s="187">
        <f t="shared" si="19"/>
        <v>2.3114325071492102E-3</v>
      </c>
      <c r="AH73" s="188">
        <f t="shared" si="23"/>
        <v>6.9346587507354595E-4</v>
      </c>
      <c r="AN73" s="156">
        <v>9</v>
      </c>
      <c r="AO73" s="158">
        <v>1.7925004447178701</v>
      </c>
      <c r="AP73" s="158">
        <v>-1.0512181439634283E-2</v>
      </c>
      <c r="AQ73" s="186">
        <f t="shared" si="24"/>
        <v>5.3705328373020395E-4</v>
      </c>
      <c r="AR73" s="187">
        <f t="shared" si="20"/>
        <v>1.105059586197915E-4</v>
      </c>
      <c r="AS73" s="189"/>
      <c r="AU73">
        <f t="shared" si="21"/>
        <v>3.7128395523837061</v>
      </c>
      <c r="AV73" s="185">
        <f t="shared" si="25"/>
        <v>5162.2561743170609</v>
      </c>
      <c r="AY73" s="29"/>
      <c r="AZ73" s="36"/>
      <c r="BA73" s="36"/>
      <c r="BB73" s="36"/>
      <c r="BC73" s="36"/>
      <c r="BD73" s="36"/>
      <c r="BE73" s="36"/>
      <c r="BF73" s="36"/>
      <c r="BG73" s="30"/>
      <c r="BI73" s="158">
        <v>6</v>
      </c>
      <c r="BJ73" s="158">
        <v>1.7833462164611475</v>
      </c>
      <c r="BK73" s="158">
        <v>-6.2849510407376963E-2</v>
      </c>
      <c r="BL73" s="186">
        <f t="shared" si="27"/>
        <v>7.5073799796505141E-3</v>
      </c>
      <c r="BM73" s="187">
        <f t="shared" si="26"/>
        <v>3.950060958446985E-3</v>
      </c>
      <c r="BT73" s="29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0"/>
    </row>
    <row r="74" spans="21:88" ht="13.5" thickBot="1" x14ac:dyDescent="0.25">
      <c r="U74" s="29"/>
      <c r="V74" s="36"/>
      <c r="W74" s="36"/>
      <c r="X74" s="36"/>
      <c r="Y74" s="36"/>
      <c r="Z74" s="36"/>
      <c r="AA74" s="36"/>
      <c r="AB74" s="36"/>
      <c r="AC74" s="156">
        <v>10</v>
      </c>
      <c r="AD74" s="158">
        <v>3.7051001081541983</v>
      </c>
      <c r="AE74" s="158">
        <v>-4.0339895643995316E-2</v>
      </c>
      <c r="AF74" s="186">
        <f t="shared" si="22"/>
        <v>5.9868348638088068E-5</v>
      </c>
      <c r="AG74" s="187">
        <f t="shared" si="19"/>
        <v>1.6273071805684323E-3</v>
      </c>
      <c r="AH74" s="188">
        <f t="shared" si="23"/>
        <v>1.9394356695397773E-3</v>
      </c>
      <c r="AN74" s="156">
        <v>10</v>
      </c>
      <c r="AO74" s="158">
        <v>1.7922358437628851</v>
      </c>
      <c r="AP74" s="158">
        <v>2.6906012304329208E-2</v>
      </c>
      <c r="AQ74" s="186">
        <f t="shared" si="24"/>
        <v>1.4001212230607884E-3</v>
      </c>
      <c r="AR74" s="187">
        <f t="shared" si="20"/>
        <v>7.2393349812071477E-4</v>
      </c>
      <c r="AS74" s="189"/>
      <c r="AU74">
        <f t="shared" si="21"/>
        <v>3.7122914794980555</v>
      </c>
      <c r="AV74" s="185">
        <f t="shared" si="25"/>
        <v>5155.7455962534768</v>
      </c>
      <c r="AY74" s="29"/>
      <c r="AZ74" s="36"/>
      <c r="BA74" s="36"/>
      <c r="BB74" s="36"/>
      <c r="BC74" s="36"/>
      <c r="BD74" s="36"/>
      <c r="BE74" s="36"/>
      <c r="BF74" s="36"/>
      <c r="BG74" s="30"/>
      <c r="BI74" s="158">
        <v>7</v>
      </c>
      <c r="BJ74" s="158">
        <v>1.7840004301662979</v>
      </c>
      <c r="BK74" s="158">
        <v>1.5372044671051466E-3</v>
      </c>
      <c r="BL74" s="186">
        <f t="shared" si="27"/>
        <v>4.145649052327856E-3</v>
      </c>
      <c r="BM74" s="187">
        <f t="shared" si="26"/>
        <v>2.3629975736880178E-6</v>
      </c>
      <c r="BT74" s="37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3"/>
    </row>
    <row r="75" spans="21:88" ht="13.5" thickBot="1" x14ac:dyDescent="0.25">
      <c r="U75" s="37"/>
      <c r="V75" s="38"/>
      <c r="W75" s="38"/>
      <c r="X75" s="38"/>
      <c r="Y75" s="38"/>
      <c r="Z75" s="38"/>
      <c r="AA75" s="38"/>
      <c r="AB75" s="38"/>
      <c r="AC75" s="156">
        <v>11</v>
      </c>
      <c r="AD75" s="158">
        <v>3.7141727500304729</v>
      </c>
      <c r="AE75" s="158">
        <v>4.4082168975290159E-4</v>
      </c>
      <c r="AF75" s="186">
        <f t="shared" si="22"/>
        <v>1.6630669062550724E-3</v>
      </c>
      <c r="AG75" s="187">
        <f t="shared" si="19"/>
        <v>1.9432376215660342E-7</v>
      </c>
      <c r="AH75" s="188">
        <f t="shared" si="23"/>
        <v>-1.7782700962241729E-5</v>
      </c>
      <c r="AN75" s="156">
        <v>11</v>
      </c>
      <c r="AO75" s="158">
        <v>1.7718769855603398</v>
      </c>
      <c r="AP75" s="158">
        <v>3.9904434021642565E-2</v>
      </c>
      <c r="AQ75" s="186">
        <f t="shared" si="24"/>
        <v>1.6895896714112354E-4</v>
      </c>
      <c r="AR75" s="187">
        <f t="shared" si="20"/>
        <v>1.5923638545876247E-3</v>
      </c>
      <c r="AS75" s="189"/>
      <c r="AU75">
        <f t="shared" si="21"/>
        <v>3.6701217973657427</v>
      </c>
      <c r="AV75" s="185">
        <f t="shared" si="25"/>
        <v>4678.6633544145607</v>
      </c>
      <c r="AY75" s="37"/>
      <c r="AZ75" s="38"/>
      <c r="BA75" s="38"/>
      <c r="BB75" s="38"/>
      <c r="BC75" s="38"/>
      <c r="BD75" s="38"/>
      <c r="BE75" s="38"/>
      <c r="BF75" s="38"/>
      <c r="BG75" s="33"/>
      <c r="BI75" s="158">
        <v>8</v>
      </c>
      <c r="BJ75" s="158">
        <v>1.8014178387702504</v>
      </c>
      <c r="BK75" s="158">
        <v>-4.7471695054814633E-2</v>
      </c>
      <c r="BL75" s="186">
        <f t="shared" si="27"/>
        <v>2.4018722323496289E-3</v>
      </c>
      <c r="BM75" s="187">
        <f t="shared" si="26"/>
        <v>2.2535618313773119E-3</v>
      </c>
    </row>
    <row r="76" spans="21:88" x14ac:dyDescent="0.2">
      <c r="AC76" s="156">
        <v>12</v>
      </c>
      <c r="AD76" s="158">
        <v>3.6866381213777935</v>
      </c>
      <c r="AE76" s="158">
        <v>4.6399956618342841E-2</v>
      </c>
      <c r="AF76" s="186">
        <f t="shared" si="22"/>
        <v>2.1122420833843357E-3</v>
      </c>
      <c r="AG76" s="187">
        <f t="shared" si="19"/>
        <v>2.1529559741840978E-3</v>
      </c>
      <c r="AH76" s="188">
        <f t="shared" si="23"/>
        <v>2.045410728095922E-5</v>
      </c>
      <c r="AN76" s="156">
        <v>12</v>
      </c>
      <c r="AO76" s="158">
        <v>1.7846337700171784</v>
      </c>
      <c r="AP76" s="158">
        <v>1.6714636753296208E-2</v>
      </c>
      <c r="AQ76" s="186">
        <f t="shared" si="24"/>
        <v>5.3776669734700421E-4</v>
      </c>
      <c r="AR76" s="187">
        <f t="shared" si="20"/>
        <v>2.7937908179464041E-4</v>
      </c>
      <c r="AS76" s="189"/>
      <c r="AU76">
        <f t="shared" si="21"/>
        <v>3.6965451625772578</v>
      </c>
      <c r="AV76" s="185">
        <f t="shared" si="25"/>
        <v>4972.1607687340011</v>
      </c>
      <c r="BI76" s="158">
        <v>9</v>
      </c>
      <c r="BJ76" s="158">
        <v>1.8054009519700323</v>
      </c>
      <c r="BK76" s="158">
        <v>-2.3412688691796468E-2</v>
      </c>
      <c r="BL76" s="186">
        <f t="shared" si="27"/>
        <v>5.788357871757485E-4</v>
      </c>
      <c r="BM76" s="187">
        <f t="shared" si="26"/>
        <v>5.4815399177897417E-4</v>
      </c>
    </row>
    <row r="77" spans="21:88" x14ac:dyDescent="0.2">
      <c r="AC77" s="156">
        <v>13</v>
      </c>
      <c r="AD77" s="158">
        <v>3.6936607262258789</v>
      </c>
      <c r="AE77" s="158">
        <v>3.8473783859849675E-2</v>
      </c>
      <c r="AF77" s="186">
        <f t="shared" si="22"/>
        <v>6.2824214597479171E-5</v>
      </c>
      <c r="AG77" s="187">
        <f t="shared" si="19"/>
        <v>1.4802320444944294E-3</v>
      </c>
      <c r="AH77" s="188">
        <f t="shared" si="23"/>
        <v>1.7851819020405239E-3</v>
      </c>
      <c r="AN77" s="156">
        <v>13</v>
      </c>
      <c r="AO77" s="158">
        <v>1.7837909013540081</v>
      </c>
      <c r="AP77" s="158">
        <v>1.1456758067799333E-2</v>
      </c>
      <c r="AQ77" s="186">
        <f t="shared" si="24"/>
        <v>2.7645288271402348E-5</v>
      </c>
      <c r="AR77" s="187">
        <f t="shared" si="20"/>
        <v>1.3125730542408511E-4</v>
      </c>
      <c r="AS77" s="189"/>
      <c r="AU77">
        <f t="shared" si="21"/>
        <v>3.6947993130187236</v>
      </c>
      <c r="AV77" s="185">
        <f t="shared" si="25"/>
        <v>4952.2129673058871</v>
      </c>
      <c r="BI77" s="158">
        <v>10</v>
      </c>
      <c r="BJ77" s="158">
        <v>1.8056319841025505</v>
      </c>
      <c r="BK77" s="158">
        <v>1.35098719646638E-2</v>
      </c>
      <c r="BL77" s="186">
        <f t="shared" si="27"/>
        <v>1.3632754854299876E-3</v>
      </c>
      <c r="BM77" s="187">
        <f t="shared" si="26"/>
        <v>1.8251664050160892E-4</v>
      </c>
    </row>
    <row r="78" spans="21:88" x14ac:dyDescent="0.2">
      <c r="AC78" s="156">
        <v>14</v>
      </c>
      <c r="AD78" s="158">
        <v>3.6899232836917335</v>
      </c>
      <c r="AE78" s="158">
        <v>3.5643139487475661E-2</v>
      </c>
      <c r="AF78" s="186">
        <f t="shared" si="22"/>
        <v>8.0125475628526737E-6</v>
      </c>
      <c r="AG78" s="187">
        <f t="shared" si="19"/>
        <v>1.2704333925236467E-3</v>
      </c>
      <c r="AH78" s="188">
        <f t="shared" si="23"/>
        <v>1.3713264447276117E-3</v>
      </c>
      <c r="AN78" s="156">
        <v>14</v>
      </c>
      <c r="AO78" s="158">
        <v>1.8369380950759702</v>
      </c>
      <c r="AP78" s="158">
        <v>-1.418116791413282E-2</v>
      </c>
      <c r="AQ78" s="186">
        <f t="shared" si="24"/>
        <v>6.5730324865503171E-4</v>
      </c>
      <c r="AR78" s="187">
        <f t="shared" si="20"/>
        <v>2.0110552340883017E-4</v>
      </c>
      <c r="AS78" s="189"/>
      <c r="AU78">
        <f t="shared" si="21"/>
        <v>3.8048840851205004</v>
      </c>
      <c r="AV78" s="185">
        <f t="shared" si="25"/>
        <v>6380.9315392589406</v>
      </c>
      <c r="BI78" s="158">
        <v>11</v>
      </c>
      <c r="BJ78" s="158">
        <v>1.7720722423612809</v>
      </c>
      <c r="BK78" s="158">
        <v>3.9709177220701442E-2</v>
      </c>
      <c r="BL78" s="186">
        <f t="shared" si="27"/>
        <v>6.8640359589904163E-4</v>
      </c>
      <c r="BM78" s="187">
        <f t="shared" si="26"/>
        <v>1.5768187555450742E-3</v>
      </c>
    </row>
    <row r="79" spans="21:88" x14ac:dyDescent="0.2">
      <c r="AC79" s="156">
        <v>15</v>
      </c>
      <c r="AD79" s="158">
        <v>3.7320231904547398</v>
      </c>
      <c r="AE79" s="158">
        <v>1.7655382444400569E-2</v>
      </c>
      <c r="AF79" s="186">
        <f t="shared" si="22"/>
        <v>3.2355940344069758E-4</v>
      </c>
      <c r="AG79" s="187">
        <f t="shared" si="19"/>
        <v>3.1171252925804783E-4</v>
      </c>
      <c r="AH79" s="188">
        <f t="shared" si="23"/>
        <v>6.2929325917049849E-4</v>
      </c>
      <c r="AN79" s="156">
        <v>15</v>
      </c>
      <c r="AO79" s="158">
        <v>1.8291714956656762</v>
      </c>
      <c r="AP79" s="158">
        <v>1.9220154986139715E-2</v>
      </c>
      <c r="AQ79" s="186">
        <f t="shared" si="24"/>
        <v>1.1156483714882704E-3</v>
      </c>
      <c r="AR79" s="187">
        <f t="shared" si="20"/>
        <v>3.6941435769123133E-4</v>
      </c>
      <c r="AS79" s="189"/>
      <c r="AU79">
        <f t="shared" si="21"/>
        <v>3.7887969831267272</v>
      </c>
      <c r="AV79" s="185">
        <f t="shared" si="25"/>
        <v>6148.8936710274802</v>
      </c>
      <c r="BI79" s="158">
        <v>12</v>
      </c>
      <c r="BJ79" s="158">
        <v>1.7940006136130915</v>
      </c>
      <c r="BK79" s="158">
        <v>7.3477931573830979E-3</v>
      </c>
      <c r="BL79" s="186">
        <f t="shared" si="27"/>
        <v>1.0472591784935945E-3</v>
      </c>
      <c r="BM79" s="187">
        <f t="shared" si="26"/>
        <v>5.3990064283685874E-5</v>
      </c>
    </row>
    <row r="80" spans="21:88" x14ac:dyDescent="0.2">
      <c r="AC80" s="156">
        <v>16</v>
      </c>
      <c r="AD80" s="158">
        <v>3.75452915207293</v>
      </c>
      <c r="AE80" s="158">
        <v>3.3255328008290785E-2</v>
      </c>
      <c r="AF80" s="186">
        <f t="shared" si="22"/>
        <v>2.4335830159633804E-4</v>
      </c>
      <c r="AG80" s="187">
        <f t="shared" si="19"/>
        <v>1.1059168409390096E-3</v>
      </c>
      <c r="AH80" s="188">
        <f t="shared" si="23"/>
        <v>5.8713553430035973E-4</v>
      </c>
      <c r="AN80" s="156">
        <v>16</v>
      </c>
      <c r="AO80" s="158">
        <v>1.8389931853946706</v>
      </c>
      <c r="AP80" s="158">
        <v>5.3836901898659084E-2</v>
      </c>
      <c r="AQ80" s="186">
        <f t="shared" si="24"/>
        <v>1.1983191668054193E-3</v>
      </c>
      <c r="AR80" s="187">
        <f t="shared" si="20"/>
        <v>2.8984120060458422E-3</v>
      </c>
      <c r="AS80" s="189"/>
      <c r="AU80">
        <f t="shared" si="21"/>
        <v>3.8091408319690023</v>
      </c>
      <c r="AV80" s="185">
        <f t="shared" si="25"/>
        <v>6443.7818904650312</v>
      </c>
      <c r="BI80" s="158">
        <v>13</v>
      </c>
      <c r="BJ80" s="158">
        <v>1.787537478477546</v>
      </c>
      <c r="BK80" s="158">
        <v>7.7101809442614577E-3</v>
      </c>
      <c r="BL80" s="186">
        <f t="shared" si="27"/>
        <v>1.3132490807859553E-7</v>
      </c>
      <c r="BM80" s="187">
        <f t="shared" si="26"/>
        <v>5.9446890193252506E-5</v>
      </c>
    </row>
    <row r="81" spans="29:65" x14ac:dyDescent="0.2">
      <c r="AC81" s="156">
        <v>17</v>
      </c>
      <c r="AD81" s="158">
        <v>3.7770769492493255</v>
      </c>
      <c r="AE81" s="158">
        <v>7.4854942979192263E-2</v>
      </c>
      <c r="AF81" s="186">
        <f t="shared" si="22"/>
        <v>1.7305279657272503E-3</v>
      </c>
      <c r="AG81" s="187">
        <f t="shared" si="19"/>
        <v>5.6032624884181249E-3</v>
      </c>
      <c r="AH81" s="188">
        <f t="shared" si="23"/>
        <v>2.4893256818149423E-3</v>
      </c>
      <c r="AN81" s="156">
        <v>17</v>
      </c>
      <c r="AO81" s="158">
        <v>1.8537171549878888</v>
      </c>
      <c r="AP81" s="158">
        <v>2.6947194957875897E-2</v>
      </c>
      <c r="AQ81" s="186">
        <f t="shared" si="24"/>
        <v>7.2305633936120344E-4</v>
      </c>
      <c r="AR81" s="187">
        <f t="shared" si="20"/>
        <v>7.2615131609777216E-4</v>
      </c>
      <c r="AS81" s="189"/>
      <c r="AU81">
        <f t="shared" si="21"/>
        <v>3.8396388643878452</v>
      </c>
      <c r="AV81" s="185">
        <f t="shared" si="25"/>
        <v>6912.5592112731656</v>
      </c>
      <c r="BI81" s="158">
        <v>14</v>
      </c>
      <c r="BJ81" s="158">
        <v>1.8414381908562536</v>
      </c>
      <c r="BK81" s="158">
        <v>-1.868126369441625E-2</v>
      </c>
      <c r="BL81" s="186">
        <f t="shared" si="27"/>
        <v>6.9650835011639029E-4</v>
      </c>
      <c r="BM81" s="187">
        <f t="shared" si="26"/>
        <v>3.4898961322031471E-4</v>
      </c>
    </row>
    <row r="82" spans="29:65" x14ac:dyDescent="0.2">
      <c r="AC82" s="156">
        <v>18</v>
      </c>
      <c r="AD82" s="158">
        <v>3.806208821781869</v>
      </c>
      <c r="AE82" s="158">
        <v>6.6735385224424348E-2</v>
      </c>
      <c r="AF82" s="186">
        <f t="shared" si="22"/>
        <v>6.592721813301177E-5</v>
      </c>
      <c r="AG82" s="187">
        <f t="shared" si="19"/>
        <v>4.4536116410523159E-3</v>
      </c>
      <c r="AH82" s="188">
        <f t="shared" si="23"/>
        <v>4.9954734556687148E-3</v>
      </c>
      <c r="AN82" s="156">
        <v>18</v>
      </c>
      <c r="AO82" s="158">
        <v>1.8678428835839007</v>
      </c>
      <c r="AP82" s="158">
        <v>-5.8637891673325448E-3</v>
      </c>
      <c r="AQ82" s="186">
        <f t="shared" si="24"/>
        <v>1.0765606792646804E-3</v>
      </c>
      <c r="AR82" s="187">
        <f t="shared" si="20"/>
        <v>3.4384023398926502E-5</v>
      </c>
      <c r="AS82" s="189"/>
      <c r="AU82">
        <f t="shared" si="21"/>
        <v>3.8688977490882981</v>
      </c>
      <c r="AV82" s="185">
        <f t="shared" si="25"/>
        <v>7394.3116183585644</v>
      </c>
      <c r="BI82" s="158">
        <v>15</v>
      </c>
      <c r="BJ82" s="158">
        <v>1.839585593208044</v>
      </c>
      <c r="BK82" s="158">
        <v>8.8060574437718309E-3</v>
      </c>
      <c r="BL82" s="186">
        <f t="shared" si="27"/>
        <v>7.5555282335388132E-4</v>
      </c>
      <c r="BM82" s="187">
        <f t="shared" si="26"/>
        <v>7.7546647703009275E-5</v>
      </c>
    </row>
    <row r="83" spans="29:65" x14ac:dyDescent="0.2">
      <c r="AC83" s="156">
        <v>19</v>
      </c>
      <c r="AD83" s="158">
        <v>3.8372443326294068</v>
      </c>
      <c r="AE83" s="158">
        <v>2.7882519073661793E-2</v>
      </c>
      <c r="AF83" s="186">
        <f t="shared" si="22"/>
        <v>1.5095452081290708E-3</v>
      </c>
      <c r="AG83" s="187">
        <f t="shared" si="19"/>
        <v>7.7743486989311373E-4</v>
      </c>
      <c r="AH83" s="188">
        <f t="shared" si="23"/>
        <v>1.8607506514081793E-3</v>
      </c>
      <c r="AN83" s="156">
        <v>19</v>
      </c>
      <c r="AO83" s="158">
        <v>1.8772165993399916</v>
      </c>
      <c r="AP83" s="158">
        <v>1.7424053451231991E-2</v>
      </c>
      <c r="AQ83" s="186">
        <f t="shared" si="24"/>
        <v>5.423236138270307E-4</v>
      </c>
      <c r="AR83" s="187">
        <f t="shared" si="20"/>
        <v>3.0359763867138944E-4</v>
      </c>
      <c r="AS83" s="189"/>
      <c r="AU83">
        <f t="shared" si="21"/>
        <v>3.8883137010980029</v>
      </c>
      <c r="AV83" s="185">
        <f t="shared" si="25"/>
        <v>7732.3891204066522</v>
      </c>
      <c r="BI83" s="158">
        <v>16</v>
      </c>
      <c r="BJ83" s="158">
        <v>1.8518751588475535</v>
      </c>
      <c r="BK83" s="158">
        <v>4.0954928445776195E-2</v>
      </c>
      <c r="BL83" s="186">
        <f t="shared" si="27"/>
        <v>1.0335499067035171E-3</v>
      </c>
      <c r="BM83" s="187">
        <f t="shared" si="26"/>
        <v>1.6773061639986481E-3</v>
      </c>
    </row>
    <row r="84" spans="29:65" x14ac:dyDescent="0.2">
      <c r="AC84" s="156">
        <v>20</v>
      </c>
      <c r="AD84" s="158">
        <v>3.8605553923860523</v>
      </c>
      <c r="AE84" s="158">
        <v>3.3189758376126033E-2</v>
      </c>
      <c r="AF84" s="186">
        <f t="shared" si="22"/>
        <v>2.8166789013621106E-5</v>
      </c>
      <c r="AG84" s="187">
        <f t="shared" si="19"/>
        <v>1.1015600610656282E-3</v>
      </c>
      <c r="AH84" s="188">
        <f t="shared" si="23"/>
        <v>9.2541407097256035E-4</v>
      </c>
      <c r="AN84" s="156">
        <v>20</v>
      </c>
      <c r="AO84" s="158">
        <v>1.8878195660094015</v>
      </c>
      <c r="AP84" s="158">
        <v>-0.10523567209249762</v>
      </c>
      <c r="AQ84" s="186">
        <f t="shared" si="24"/>
        <v>1.5045408270463075E-2</v>
      </c>
      <c r="AR84" s="187">
        <f t="shared" si="20"/>
        <v>1.1074546680759682E-2</v>
      </c>
      <c r="AS84" s="189"/>
      <c r="AU84">
        <f t="shared" si="21"/>
        <v>3.9102758234164647</v>
      </c>
      <c r="AV84" s="185">
        <f t="shared" si="25"/>
        <v>8133.4691438959717</v>
      </c>
      <c r="BI84" s="158">
        <v>17</v>
      </c>
      <c r="BJ84" s="158">
        <v>1.8712388754300857</v>
      </c>
      <c r="BK84" s="158">
        <v>9.4254745156789888E-3</v>
      </c>
      <c r="BL84" s="186">
        <f t="shared" si="27"/>
        <v>9.9410646513012216E-4</v>
      </c>
      <c r="BM84" s="187">
        <f t="shared" si="26"/>
        <v>8.8839569845714067E-5</v>
      </c>
    </row>
    <row r="85" spans="29:65" x14ac:dyDescent="0.2">
      <c r="AC85" s="156">
        <v>21</v>
      </c>
      <c r="AD85" s="158">
        <v>3.8868843975535441</v>
      </c>
      <c r="AE85" s="158">
        <v>-9.0394170546578057E-2</v>
      </c>
      <c r="AF85" s="186">
        <f t="shared" si="22"/>
        <v>1.5272987487971977E-2</v>
      </c>
      <c r="AG85" s="187">
        <f t="shared" si="19"/>
        <v>8.1711060688038403E-3</v>
      </c>
      <c r="AH85" s="188">
        <f t="shared" si="23"/>
        <v>-3.000160679051254E-3</v>
      </c>
      <c r="AN85" s="156">
        <v>21</v>
      </c>
      <c r="AO85" s="158">
        <v>1.8839517809334811</v>
      </c>
      <c r="AP85" s="158">
        <v>-5.8763110758370596E-2</v>
      </c>
      <c r="AQ85" s="186">
        <f t="shared" si="24"/>
        <v>2.1596989569541984E-3</v>
      </c>
      <c r="AR85" s="187">
        <f t="shared" si="20"/>
        <v>3.45310318600053E-3</v>
      </c>
      <c r="AS85" s="189"/>
      <c r="AU85">
        <f t="shared" si="21"/>
        <v>3.9022644081600202</v>
      </c>
      <c r="AV85" s="185">
        <f t="shared" si="25"/>
        <v>7984.8067214327493</v>
      </c>
      <c r="BI85" s="158">
        <v>18</v>
      </c>
      <c r="BJ85" s="158">
        <v>1.8891500798640557</v>
      </c>
      <c r="BK85" s="158">
        <v>-2.7170985447487528E-2</v>
      </c>
      <c r="BL85" s="186">
        <f t="shared" si="27"/>
        <v>1.3393008818356497E-3</v>
      </c>
      <c r="BM85" s="187">
        <f t="shared" si="26"/>
        <v>7.38262450187579E-4</v>
      </c>
    </row>
    <row r="86" spans="29:65" x14ac:dyDescent="0.2">
      <c r="AC86" s="156">
        <v>22</v>
      </c>
      <c r="AD86" s="158">
        <v>3.8916475533266208</v>
      </c>
      <c r="AE86" s="158">
        <v>-0.10285432875810319</v>
      </c>
      <c r="AF86" s="186">
        <f t="shared" si="22"/>
        <v>1.5525554265623712E-4</v>
      </c>
      <c r="AG86" s="187">
        <f t="shared" si="19"/>
        <v>1.0579012944279972E-2</v>
      </c>
      <c r="AH86" s="188">
        <f t="shared" si="23"/>
        <v>9.2974317352137875E-3</v>
      </c>
      <c r="AN86" s="156">
        <v>22</v>
      </c>
      <c r="AO86" s="158">
        <v>1.8765232837413617</v>
      </c>
      <c r="AP86" s="158">
        <v>2.2765557403293224E-2</v>
      </c>
      <c r="AQ86" s="186">
        <f t="shared" si="24"/>
        <v>6.6469237322146959E-3</v>
      </c>
      <c r="AR86" s="187">
        <f t="shared" si="20"/>
        <v>5.1827060388263892E-4</v>
      </c>
      <c r="AS86" s="189"/>
      <c r="AU86">
        <f t="shared" si="21"/>
        <v>3.8868776235871363</v>
      </c>
      <c r="AV86" s="185">
        <f t="shared" si="25"/>
        <v>7706.8627286537931</v>
      </c>
      <c r="BI86" s="158">
        <v>19</v>
      </c>
      <c r="BJ86" s="158">
        <v>1.8982303035934169</v>
      </c>
      <c r="BK86" s="158">
        <v>-3.5896508021933116E-3</v>
      </c>
      <c r="BL86" s="186">
        <f t="shared" si="27"/>
        <v>5.5607934365335329E-4</v>
      </c>
      <c r="BM86" s="187">
        <f t="shared" si="26"/>
        <v>1.2885592881687085E-5</v>
      </c>
    </row>
    <row r="87" spans="29:65" x14ac:dyDescent="0.2">
      <c r="AC87" s="156">
        <v>23</v>
      </c>
      <c r="AD87" s="158">
        <v>3.8834875627990648</v>
      </c>
      <c r="AE87" s="158">
        <v>-2.4575178178876111E-2</v>
      </c>
      <c r="AF87" s="186">
        <f t="shared" si="22"/>
        <v>6.1276254154053068E-3</v>
      </c>
      <c r="AG87" s="187">
        <f t="shared" si="19"/>
        <v>6.0393938252350859E-4</v>
      </c>
      <c r="AH87" s="188">
        <f t="shared" si="23"/>
        <v>2.5276634556990873E-3</v>
      </c>
      <c r="AN87" s="156">
        <v>23</v>
      </c>
      <c r="AO87" s="158">
        <v>1.8775343980196393</v>
      </c>
      <c r="AP87" s="158">
        <v>4.5273950048561717E-2</v>
      </c>
      <c r="AQ87" s="186">
        <f t="shared" si="24"/>
        <v>5.0662773947357683E-4</v>
      </c>
      <c r="AR87" s="187">
        <f t="shared" si="20"/>
        <v>2.0497305529996617E-3</v>
      </c>
      <c r="AS87" s="189"/>
      <c r="AU87">
        <f t="shared" si="21"/>
        <v>3.8889719634214339</v>
      </c>
      <c r="AV87" s="185">
        <f t="shared" si="25"/>
        <v>7744.118027897036</v>
      </c>
      <c r="BI87" s="158">
        <v>20</v>
      </c>
      <c r="BJ87" s="158">
        <v>1.8377052229242805</v>
      </c>
      <c r="BK87" s="158">
        <v>-5.5121329007376652E-2</v>
      </c>
      <c r="BL87" s="186">
        <f t="shared" si="27"/>
        <v>2.6555138586425676E-3</v>
      </c>
      <c r="BM87" s="187">
        <f t="shared" si="26"/>
        <v>3.0383609115394628E-3</v>
      </c>
    </row>
    <row r="88" spans="29:65" x14ac:dyDescent="0.2">
      <c r="AC88" s="156">
        <v>24</v>
      </c>
      <c r="AD88" s="158">
        <v>3.8830104119511049</v>
      </c>
      <c r="AE88" s="158">
        <v>3.5688213811579494E-2</v>
      </c>
      <c r="AF88" s="186">
        <f t="shared" si="22"/>
        <v>3.631676414195309E-3</v>
      </c>
      <c r="AG88" s="187">
        <f t="shared" si="19"/>
        <v>1.2736486050610133E-3</v>
      </c>
      <c r="AH88" s="188">
        <f t="shared" si="23"/>
        <v>-8.7704421330539342E-4</v>
      </c>
      <c r="AN88" s="156">
        <v>24</v>
      </c>
      <c r="AO88" s="158">
        <v>1.8846790281814716</v>
      </c>
      <c r="AP88" s="158">
        <v>4.0571580332939838E-2</v>
      </c>
      <c r="AQ88" s="186">
        <f t="shared" si="24"/>
        <v>2.2112280942397792E-5</v>
      </c>
      <c r="AR88" s="187">
        <f t="shared" si="20"/>
        <v>1.6460531307121906E-3</v>
      </c>
      <c r="AS88" s="189"/>
      <c r="AU88">
        <f t="shared" si="21"/>
        <v>3.9037707689281067</v>
      </c>
      <c r="AV88" s="185">
        <f t="shared" si="25"/>
        <v>8012.5503007967227</v>
      </c>
      <c r="BI88" s="158">
        <v>21</v>
      </c>
      <c r="BJ88" s="158">
        <v>1.8290327643018633</v>
      </c>
      <c r="BK88" s="158">
        <v>-3.844094126752795E-3</v>
      </c>
      <c r="BL88" s="186">
        <f t="shared" si="27"/>
        <v>2.6293548170026678E-3</v>
      </c>
      <c r="BM88" s="187">
        <f t="shared" si="26"/>
        <v>1.4777059655335335E-5</v>
      </c>
    </row>
    <row r="89" spans="29:65" x14ac:dyDescent="0.2">
      <c r="AC89" s="156">
        <v>25</v>
      </c>
      <c r="AD89" s="158">
        <v>3.9009906791475242</v>
      </c>
      <c r="AE89" s="158">
        <v>5.1072592838198538E-2</v>
      </c>
      <c r="AF89" s="186">
        <f t="shared" si="22"/>
        <v>2.3667911803467592E-4</v>
      </c>
      <c r="AG89" s="187">
        <f t="shared" si="19"/>
        <v>2.6084097392164085E-3</v>
      </c>
      <c r="AH89" s="188">
        <f t="shared" si="23"/>
        <v>1.8226896131213731E-3</v>
      </c>
      <c r="AN89" s="156">
        <v>25</v>
      </c>
      <c r="AO89" s="158">
        <v>1.8838527934895666</v>
      </c>
      <c r="AP89" s="158">
        <v>4.4359800386004178E-2</v>
      </c>
      <c r="AQ89" s="186">
        <f t="shared" si="24"/>
        <v>1.4350611170438787E-5</v>
      </c>
      <c r="AR89" s="187">
        <f t="shared" si="20"/>
        <v>1.9677918902861365E-3</v>
      </c>
      <c r="AS89" s="189"/>
      <c r="AU89">
        <f t="shared" si="21"/>
        <v>3.9020593736240241</v>
      </c>
      <c r="AV89" s="185">
        <f t="shared" si="25"/>
        <v>7981.0379083105008</v>
      </c>
      <c r="BI89" s="158">
        <v>22</v>
      </c>
      <c r="BJ89" s="158">
        <v>1.893633542481961</v>
      </c>
      <c r="BK89" s="158">
        <v>5.655298662693875E-3</v>
      </c>
      <c r="BL89" s="186">
        <f t="shared" si="27"/>
        <v>9.0238463368191391E-5</v>
      </c>
      <c r="BM89" s="187">
        <f t="shared" si="26"/>
        <v>3.1982402964267131E-5</v>
      </c>
    </row>
    <row r="90" spans="29:65" x14ac:dyDescent="0.2">
      <c r="AC90" s="156">
        <v>26</v>
      </c>
      <c r="AD90" s="158">
        <v>3.9125721319502098</v>
      </c>
      <c r="AE90" s="158">
        <v>5.970984604176488E-2</v>
      </c>
      <c r="AF90" s="186">
        <f t="shared" si="22"/>
        <v>7.4602142902517038E-5</v>
      </c>
      <c r="AG90" s="187">
        <f t="shared" si="19"/>
        <v>3.5652657143312653E-3</v>
      </c>
      <c r="AH90" s="188">
        <f t="shared" si="23"/>
        <v>3.0495366553225781E-3</v>
      </c>
      <c r="AN90" s="156">
        <v>26</v>
      </c>
      <c r="AO90" s="158">
        <v>1.8938172264598556</v>
      </c>
      <c r="AP90" s="158">
        <v>6.7530889260016824E-2</v>
      </c>
      <c r="AQ90" s="186">
        <f t="shared" si="24"/>
        <v>5.3689935960739266E-4</v>
      </c>
      <c r="AR90" s="187">
        <f t="shared" si="20"/>
        <v>4.5604210042486555E-3</v>
      </c>
      <c r="AS90" s="189"/>
      <c r="AU90">
        <f t="shared" si="21"/>
        <v>3.9226988892002606</v>
      </c>
      <c r="AV90" s="185">
        <f t="shared" si="25"/>
        <v>8369.4879649534469</v>
      </c>
      <c r="BI90" s="158">
        <v>23</v>
      </c>
      <c r="BJ90" s="158">
        <v>1.8971016217743877</v>
      </c>
      <c r="BK90" s="158">
        <v>2.570672629381332E-2</v>
      </c>
      <c r="BL90" s="186">
        <f t="shared" si="27"/>
        <v>4.0205975004602038E-4</v>
      </c>
      <c r="BM90" s="187">
        <f t="shared" si="26"/>
        <v>6.6083577674503312E-4</v>
      </c>
    </row>
    <row r="91" spans="29:65" x14ac:dyDescent="0.2">
      <c r="AC91" s="156">
        <v>27</v>
      </c>
      <c r="AD91" s="158">
        <v>3.9379061509942304</v>
      </c>
      <c r="AE91" s="158">
        <v>7.7968782109065771E-2</v>
      </c>
      <c r="AF91" s="186">
        <f t="shared" si="22"/>
        <v>3.3338874630978128E-4</v>
      </c>
      <c r="AG91" s="187">
        <f t="shared" si="19"/>
        <v>6.079130983570975E-3</v>
      </c>
      <c r="AH91" s="188">
        <f t="shared" si="23"/>
        <v>4.6555039757962295E-3</v>
      </c>
      <c r="AN91" s="156">
        <v>27</v>
      </c>
      <c r="AO91" s="158">
        <v>1.9054313015931772</v>
      </c>
      <c r="AP91" s="158">
        <v>-7.7873876668668629E-2</v>
      </c>
      <c r="AQ91" s="186">
        <f t="shared" si="24"/>
        <v>2.1142545954775806E-2</v>
      </c>
      <c r="AR91" s="187">
        <f t="shared" si="20"/>
        <v>6.0643406674070121E-3</v>
      </c>
      <c r="AS91" s="189"/>
      <c r="AU91">
        <f t="shared" si="21"/>
        <v>3.946755339309616</v>
      </c>
      <c r="AV91" s="185">
        <f t="shared" si="25"/>
        <v>8846.1711855623598</v>
      </c>
      <c r="BI91" s="158">
        <v>24</v>
      </c>
      <c r="BJ91" s="158">
        <v>1.9146941155690556</v>
      </c>
      <c r="BK91" s="158">
        <v>1.0556492945355878E-2</v>
      </c>
      <c r="BL91" s="186">
        <f t="shared" si="27"/>
        <v>2.2952957051271201E-4</v>
      </c>
      <c r="BM91" s="187">
        <f t="shared" si="26"/>
        <v>1.1143954330534841E-4</v>
      </c>
    </row>
    <row r="92" spans="29:65" x14ac:dyDescent="0.2">
      <c r="AC92" s="156">
        <v>28</v>
      </c>
      <c r="AD92" s="158">
        <v>3.9658929463877026</v>
      </c>
      <c r="AE92" s="158">
        <v>-6.1261740943362675E-2</v>
      </c>
      <c r="AF92" s="186">
        <f t="shared" si="22"/>
        <v>1.9385138549452809E-2</v>
      </c>
      <c r="AG92" s="187">
        <f t="shared" si="19"/>
        <v>3.7530009034116786E-3</v>
      </c>
      <c r="AH92" s="188">
        <f t="shared" si="23"/>
        <v>-4.7765033312350781E-3</v>
      </c>
      <c r="AN92" s="156">
        <v>28</v>
      </c>
      <c r="AO92" s="158">
        <v>1.905648771057038</v>
      </c>
      <c r="AP92" s="158">
        <v>-3.1295058331052061E-2</v>
      </c>
      <c r="AQ92" s="186">
        <f t="shared" si="24"/>
        <v>2.1695863177286856E-3</v>
      </c>
      <c r="AR92" s="187">
        <f t="shared" si="20"/>
        <v>9.7938067594395095E-4</v>
      </c>
      <c r="AS92" s="189"/>
      <c r="AU92">
        <f t="shared" si="21"/>
        <v>3.9472057878599842</v>
      </c>
      <c r="AV92" s="185">
        <f t="shared" si="25"/>
        <v>8855.3511598623481</v>
      </c>
      <c r="BI92" s="158">
        <v>25</v>
      </c>
      <c r="BJ92" s="158">
        <v>1.9163498343807532</v>
      </c>
      <c r="BK92" s="158">
        <v>1.1862759494817521E-2</v>
      </c>
      <c r="BL92" s="186">
        <f t="shared" si="27"/>
        <v>1.7063322982424275E-6</v>
      </c>
      <c r="BM92" s="187">
        <f t="shared" si="26"/>
        <v>1.4072506283188324E-4</v>
      </c>
    </row>
    <row r="93" spans="29:65" ht="13.5" thickBot="1" x14ac:dyDescent="0.25">
      <c r="AC93" s="156">
        <v>29</v>
      </c>
      <c r="AD93" s="158">
        <v>3.9710478823094437</v>
      </c>
      <c r="AE93" s="158">
        <v>-7.7157397515518866E-2</v>
      </c>
      <c r="AF93" s="186">
        <f t="shared" si="22"/>
        <v>2.5267189785993234E-4</v>
      </c>
      <c r="AG93" s="187">
        <f t="shared" si="19"/>
        <v>5.9532639913677972E-3</v>
      </c>
      <c r="AH93" s="188">
        <f t="shared" si="23"/>
        <v>4.7267964984597718E-3</v>
      </c>
      <c r="AN93" s="159">
        <v>29</v>
      </c>
      <c r="AO93" s="161">
        <v>1.8973887363031352</v>
      </c>
      <c r="AP93" s="161">
        <v>6.3767039946549531E-4</v>
      </c>
      <c r="AQ93" s="191">
        <f t="shared" si="24"/>
        <v>1.0196991641768214E-3</v>
      </c>
      <c r="AR93" s="192">
        <f t="shared" si="20"/>
        <v>4.0662353835448434E-7</v>
      </c>
      <c r="AS93" s="189"/>
      <c r="AU93">
        <f t="shared" si="21"/>
        <v>3.9300966240498849</v>
      </c>
      <c r="AV93" s="185">
        <f t="shared" si="25"/>
        <v>8513.2742479834014</v>
      </c>
      <c r="BI93" s="158">
        <v>26</v>
      </c>
      <c r="BJ93" s="158">
        <v>1.8598855251065034</v>
      </c>
      <c r="BK93" s="158">
        <v>0.10146259061336904</v>
      </c>
      <c r="BL93" s="186">
        <f t="shared" si="27"/>
        <v>8.028129736472954E-3</v>
      </c>
      <c r="BM93" s="187">
        <f t="shared" si="26"/>
        <v>1.0294657293976123E-2</v>
      </c>
    </row>
    <row r="94" spans="29:65" ht="13.5" thickBot="1" x14ac:dyDescent="0.25">
      <c r="AC94" s="159">
        <v>30</v>
      </c>
      <c r="AD94" s="161">
        <v>3.9507453441451492</v>
      </c>
      <c r="AE94" s="161">
        <v>-3.8737435301710033E-2</v>
      </c>
      <c r="AF94" s="191">
        <f t="shared" si="22"/>
        <v>1.4760934965104987E-3</v>
      </c>
      <c r="AG94" s="192">
        <f t="shared" si="19"/>
        <v>1.5005888937541707E-3</v>
      </c>
      <c r="AH94" s="193">
        <f t="shared" si="23"/>
        <v>2.9888796943057343E-3</v>
      </c>
      <c r="BI94" s="158">
        <v>27</v>
      </c>
      <c r="BJ94" s="158">
        <v>1.8760872043193482</v>
      </c>
      <c r="BK94" s="158">
        <v>-4.8529779394839601E-2</v>
      </c>
      <c r="BL94" s="186">
        <f t="shared" si="27"/>
        <v>2.2497711060679368E-2</v>
      </c>
      <c r="BM94" s="187">
        <f t="shared" si="26"/>
        <v>2.3551394881117984E-3</v>
      </c>
    </row>
    <row r="95" spans="29:65" x14ac:dyDescent="0.2">
      <c r="BI95" s="158">
        <v>28</v>
      </c>
      <c r="BJ95" s="158">
        <v>1.8683211008103742</v>
      </c>
      <c r="BK95" s="158">
        <v>6.0326119156117741E-3</v>
      </c>
      <c r="BL95" s="186">
        <f t="shared" si="27"/>
        <v>2.9770545455148198E-3</v>
      </c>
      <c r="BM95" s="187">
        <f t="shared" si="26"/>
        <v>3.6392406524381161E-5</v>
      </c>
    </row>
    <row r="96" spans="29:65" ht="13.5" thickBot="1" x14ac:dyDescent="0.25">
      <c r="BI96" s="161">
        <v>29</v>
      </c>
      <c r="BJ96" s="161">
        <v>1.9222796040166585</v>
      </c>
      <c r="BK96" s="161">
        <v>-2.4253197314057839E-2</v>
      </c>
      <c r="BL96" s="186">
        <f t="shared" si="27"/>
        <v>9.1723024069594115E-4</v>
      </c>
      <c r="BM96" s="187">
        <f t="shared" si="26"/>
        <v>5.8821757995462245E-4</v>
      </c>
    </row>
  </sheetData>
  <mergeCells count="6">
    <mergeCell ref="BL65:BM65"/>
    <mergeCell ref="A2:G2"/>
    <mergeCell ref="M2:O2"/>
    <mergeCell ref="AO35:AR35"/>
    <mergeCell ref="AF62:AG62"/>
    <mergeCell ref="AQ62:AR6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Q10:AS44"/>
  <sheetViews>
    <sheetView topLeftCell="AO1" workbookViewId="0">
      <selection activeCell="AQ11" sqref="AQ11:AS44"/>
    </sheetView>
  </sheetViews>
  <sheetFormatPr defaultRowHeight="12.75" x14ac:dyDescent="0.2"/>
  <cols>
    <col min="1" max="40" width="0" hidden="1" customWidth="1"/>
  </cols>
  <sheetData>
    <row r="10" spans="43:45" ht="13.5" thickBot="1" x14ac:dyDescent="0.25"/>
    <row r="11" spans="43:45" x14ac:dyDescent="0.2">
      <c r="AQ11" s="232" t="s">
        <v>106</v>
      </c>
      <c r="AR11" s="233"/>
      <c r="AS11" s="234"/>
    </row>
    <row r="12" spans="43:45" x14ac:dyDescent="0.2">
      <c r="AQ12" s="211" t="s">
        <v>107</v>
      </c>
      <c r="AR12" s="212" t="s">
        <v>31</v>
      </c>
      <c r="AS12" s="213" t="s">
        <v>108</v>
      </c>
    </row>
    <row r="13" spans="43:45" x14ac:dyDescent="0.2">
      <c r="AQ13" s="31">
        <v>339.43133359306972</v>
      </c>
      <c r="AR13" s="36"/>
      <c r="AS13" s="30"/>
    </row>
    <row r="14" spans="43:45" x14ac:dyDescent="0.2">
      <c r="AQ14" s="31">
        <v>356.12551100791308</v>
      </c>
      <c r="AR14" s="214">
        <f t="shared" ref="AR14:AR44" si="0">AQ14-AQ13</f>
        <v>16.694177414843352</v>
      </c>
      <c r="AS14" s="215">
        <f t="shared" ref="AS14:AS44" si="1">AR14/AQ13</f>
        <v>4.918278238525061E-2</v>
      </c>
    </row>
    <row r="15" spans="43:45" x14ac:dyDescent="0.2">
      <c r="AQ15" s="31">
        <v>381.26725712421137</v>
      </c>
      <c r="AR15" s="214">
        <f t="shared" si="0"/>
        <v>25.141746116298293</v>
      </c>
      <c r="AS15" s="215">
        <f t="shared" si="1"/>
        <v>7.0597992390777214E-2</v>
      </c>
    </row>
    <row r="16" spans="43:45" x14ac:dyDescent="0.2">
      <c r="AQ16" s="31">
        <v>420.4099743010924</v>
      </c>
      <c r="AR16" s="214">
        <f t="shared" si="0"/>
        <v>39.142717176881035</v>
      </c>
      <c r="AS16" s="215">
        <f t="shared" si="1"/>
        <v>0.10266477502454113</v>
      </c>
    </row>
    <row r="17" spans="43:45" x14ac:dyDescent="0.2">
      <c r="AQ17" s="31">
        <v>465.16779340413035</v>
      </c>
      <c r="AR17" s="214">
        <f t="shared" si="0"/>
        <v>44.757819103037946</v>
      </c>
      <c r="AS17" s="215">
        <f t="shared" si="1"/>
        <v>0.10646231497586438</v>
      </c>
    </row>
    <row r="18" spans="43:45" x14ac:dyDescent="0.2">
      <c r="AQ18" s="31">
        <v>502.87606657815388</v>
      </c>
      <c r="AR18" s="214">
        <f t="shared" si="0"/>
        <v>37.708273174023532</v>
      </c>
      <c r="AS18" s="215">
        <f t="shared" si="1"/>
        <v>8.1063809035599302E-2</v>
      </c>
    </row>
    <row r="19" spans="43:45" x14ac:dyDescent="0.2">
      <c r="AQ19" s="31">
        <v>512.06503941347057</v>
      </c>
      <c r="AR19" s="214">
        <f t="shared" si="0"/>
        <v>9.1889728353166902</v>
      </c>
      <c r="AS19" s="215">
        <f t="shared" si="1"/>
        <v>1.827283787403829E-2</v>
      </c>
    </row>
    <row r="20" spans="43:45" x14ac:dyDescent="0.2">
      <c r="AQ20" s="31">
        <v>587.35981787999583</v>
      </c>
      <c r="AR20" s="214">
        <f t="shared" si="0"/>
        <v>75.294778466525258</v>
      </c>
      <c r="AS20" s="215">
        <f t="shared" si="1"/>
        <v>0.14704143550352392</v>
      </c>
    </row>
    <row r="21" spans="43:45" x14ac:dyDescent="0.2">
      <c r="AQ21" s="31">
        <v>544.73892444378862</v>
      </c>
      <c r="AR21" s="214">
        <f t="shared" si="0"/>
        <v>-42.620893436207211</v>
      </c>
      <c r="AS21" s="215">
        <f t="shared" si="1"/>
        <v>-7.256351581904627E-2</v>
      </c>
    </row>
    <row r="22" spans="43:45" x14ac:dyDescent="0.2">
      <c r="AQ22" s="31">
        <v>606.47014922920198</v>
      </c>
      <c r="AR22" s="214">
        <f t="shared" si="0"/>
        <v>61.73122478541336</v>
      </c>
      <c r="AS22" s="215">
        <f t="shared" si="1"/>
        <v>0.11332258815256258</v>
      </c>
    </row>
    <row r="23" spans="43:45" x14ac:dyDescent="0.2">
      <c r="AQ23" s="31">
        <v>596.40728293738425</v>
      </c>
      <c r="AR23" s="214">
        <f t="shared" si="0"/>
        <v>-10.062866291817727</v>
      </c>
      <c r="AS23" s="215">
        <f t="shared" si="1"/>
        <v>-1.6592517050686182E-2</v>
      </c>
    </row>
    <row r="24" spans="43:45" x14ac:dyDescent="0.2">
      <c r="AQ24" s="31">
        <v>632.66068721747615</v>
      </c>
      <c r="AR24" s="214">
        <f t="shared" si="0"/>
        <v>36.2534042800919</v>
      </c>
      <c r="AS24" s="215">
        <f t="shared" si="1"/>
        <v>6.0786320551853623E-2</v>
      </c>
    </row>
    <row r="25" spans="43:45" x14ac:dyDescent="0.2">
      <c r="AQ25" s="31">
        <v>709.57710448550176</v>
      </c>
      <c r="AR25" s="214">
        <f t="shared" si="0"/>
        <v>76.916417268025612</v>
      </c>
      <c r="AS25" s="215">
        <f t="shared" si="1"/>
        <v>0.12157609730156302</v>
      </c>
    </row>
    <row r="26" spans="43:45" x14ac:dyDescent="0.2">
      <c r="AQ26" s="31">
        <v>737.88498826076761</v>
      </c>
      <c r="AR26" s="214">
        <f t="shared" si="0"/>
        <v>28.30788377526585</v>
      </c>
      <c r="AS26" s="215">
        <f t="shared" si="1"/>
        <v>3.9894020813694732E-2</v>
      </c>
    </row>
    <row r="27" spans="43:45" x14ac:dyDescent="0.2">
      <c r="AQ27" s="31">
        <v>712.87331112601635</v>
      </c>
      <c r="AR27" s="214">
        <f t="shared" si="0"/>
        <v>-25.011677134751267</v>
      </c>
      <c r="AS27" s="215">
        <f t="shared" si="1"/>
        <v>-3.3896443934582625E-2</v>
      </c>
    </row>
    <row r="28" spans="43:45" x14ac:dyDescent="0.2">
      <c r="AQ28" s="31">
        <v>696.41623179083831</v>
      </c>
      <c r="AR28" s="214">
        <f t="shared" si="0"/>
        <v>-16.457079335178037</v>
      </c>
      <c r="AS28" s="215">
        <f t="shared" si="1"/>
        <v>-2.3085559633567034E-2</v>
      </c>
    </row>
    <row r="29" spans="43:45" x14ac:dyDescent="0.2">
      <c r="AQ29" s="31">
        <v>730.04027045512248</v>
      </c>
      <c r="AR29" s="214">
        <f t="shared" si="0"/>
        <v>33.624038664284171</v>
      </c>
      <c r="AS29" s="215">
        <f t="shared" si="1"/>
        <v>4.8281526376574777E-2</v>
      </c>
    </row>
    <row r="30" spans="43:45" x14ac:dyDescent="0.2">
      <c r="AQ30" s="31">
        <v>789.17089830070108</v>
      </c>
      <c r="AR30" s="214">
        <f t="shared" si="0"/>
        <v>59.130627845578601</v>
      </c>
      <c r="AS30" s="215">
        <f t="shared" si="1"/>
        <v>8.0996391895909139E-2</v>
      </c>
    </row>
    <row r="31" spans="43:45" x14ac:dyDescent="0.2">
      <c r="AQ31" s="31">
        <v>904.91034603677178</v>
      </c>
      <c r="AR31" s="214">
        <f t="shared" si="0"/>
        <v>115.7394477360707</v>
      </c>
      <c r="AS31" s="215">
        <f t="shared" si="1"/>
        <v>0.14665954862918679</v>
      </c>
    </row>
    <row r="32" spans="43:45" x14ac:dyDescent="0.2">
      <c r="AQ32" s="31">
        <v>939.08505107683607</v>
      </c>
      <c r="AR32" s="214">
        <f t="shared" si="0"/>
        <v>34.174705040064282</v>
      </c>
      <c r="AS32" s="215">
        <f t="shared" si="1"/>
        <v>3.7765846295977221E-2</v>
      </c>
    </row>
    <row r="33" spans="43:45" x14ac:dyDescent="0.2">
      <c r="AQ33" s="31">
        <v>914.17897060743826</v>
      </c>
      <c r="AR33" s="214">
        <f t="shared" si="0"/>
        <v>-24.906080469397807</v>
      </c>
      <c r="AS33" s="215">
        <f t="shared" si="1"/>
        <v>-2.6521645127710575E-2</v>
      </c>
    </row>
    <row r="34" spans="43:45" x14ac:dyDescent="0.2">
      <c r="AQ34" s="31">
        <v>971.04892508563353</v>
      </c>
      <c r="AR34" s="214">
        <f t="shared" si="0"/>
        <v>56.869954478195268</v>
      </c>
      <c r="AS34" s="215">
        <f t="shared" si="1"/>
        <v>6.220877564095275E-2</v>
      </c>
    </row>
    <row r="35" spans="43:45" x14ac:dyDescent="0.2">
      <c r="AQ35" s="31">
        <v>775.37014311213795</v>
      </c>
      <c r="AR35" s="214">
        <f t="shared" si="0"/>
        <v>-195.67878197349557</v>
      </c>
      <c r="AS35" s="215">
        <f t="shared" si="1"/>
        <v>-0.20151279396786245</v>
      </c>
    </row>
    <row r="36" spans="43:45" x14ac:dyDescent="0.2">
      <c r="AQ36" s="31">
        <v>762.12008199128991</v>
      </c>
      <c r="AR36" s="214">
        <f t="shared" si="0"/>
        <v>-13.250061120848045</v>
      </c>
      <c r="AS36" s="215">
        <f t="shared" si="1"/>
        <v>-1.7088691431508672E-2</v>
      </c>
    </row>
    <row r="37" spans="43:45" x14ac:dyDescent="0.2">
      <c r="AQ37" s="31">
        <v>898.40995098263261</v>
      </c>
      <c r="AR37" s="214">
        <f t="shared" si="0"/>
        <v>136.2898689913427</v>
      </c>
      <c r="AS37" s="215">
        <f t="shared" si="1"/>
        <v>0.17882991435580664</v>
      </c>
    </row>
    <row r="38" spans="43:45" x14ac:dyDescent="0.2">
      <c r="AQ38" s="31">
        <v>1034.8646171985788</v>
      </c>
      <c r="AR38" s="214">
        <f t="shared" si="0"/>
        <v>136.45466621594619</v>
      </c>
      <c r="AS38" s="215">
        <f t="shared" si="1"/>
        <v>0.1518846335870383</v>
      </c>
    </row>
    <row r="39" spans="43:45" x14ac:dyDescent="0.2">
      <c r="AQ39" s="31">
        <v>1120.2223543371599</v>
      </c>
      <c r="AR39" s="214">
        <f t="shared" si="0"/>
        <v>85.357737138581115</v>
      </c>
      <c r="AS39" s="215">
        <f t="shared" si="1"/>
        <v>8.2482032644664222E-2</v>
      </c>
    </row>
    <row r="40" spans="43:45" x14ac:dyDescent="0.2">
      <c r="AQ40" s="31">
        <v>1170.6978836748538</v>
      </c>
      <c r="AR40" s="214">
        <f t="shared" si="0"/>
        <v>50.475529337693843</v>
      </c>
      <c r="AS40" s="215">
        <f t="shared" si="1"/>
        <v>4.5058491416697731E-2</v>
      </c>
    </row>
    <row r="41" spans="43:45" x14ac:dyDescent="0.2">
      <c r="AQ41" s="31">
        <v>1285.5783410495251</v>
      </c>
      <c r="AR41" s="214">
        <f t="shared" si="0"/>
        <v>114.88045737467132</v>
      </c>
      <c r="AS41" s="215">
        <f t="shared" si="1"/>
        <v>9.8129892414307876E-2</v>
      </c>
    </row>
    <row r="42" spans="43:45" x14ac:dyDescent="0.2">
      <c r="AQ42" s="31">
        <v>987.31693621163129</v>
      </c>
      <c r="AR42" s="214">
        <f t="shared" si="0"/>
        <v>-298.26140483789379</v>
      </c>
      <c r="AS42" s="215">
        <f t="shared" si="1"/>
        <v>-0.23200562370582417</v>
      </c>
    </row>
    <row r="43" spans="43:45" x14ac:dyDescent="0.2">
      <c r="AQ43" s="31">
        <v>956.74288787350395</v>
      </c>
      <c r="AR43" s="214">
        <f t="shared" si="0"/>
        <v>-30.574048338127341</v>
      </c>
      <c r="AS43" s="215">
        <f t="shared" si="1"/>
        <v>-3.0966802266596382E-2</v>
      </c>
    </row>
    <row r="44" spans="43:45" ht="13.5" thickBot="1" x14ac:dyDescent="0.25">
      <c r="AQ44" s="216">
        <v>990.42590167751985</v>
      </c>
      <c r="AR44" s="217">
        <f t="shared" si="0"/>
        <v>33.6830138040159</v>
      </c>
      <c r="AS44" s="218">
        <f t="shared" si="1"/>
        <v>3.5205920243505703E-2</v>
      </c>
    </row>
  </sheetData>
  <mergeCells count="1">
    <mergeCell ref="AQ11:AS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topLeftCell="AV35" workbookViewId="0">
      <selection activeCell="BG43" sqref="BG43"/>
    </sheetView>
  </sheetViews>
  <sheetFormatPr defaultRowHeight="12.75" x14ac:dyDescent="0.2"/>
  <cols>
    <col min="4" max="4" width="12.28515625" bestFit="1" customWidth="1"/>
    <col min="6" max="6" width="13.7109375" customWidth="1"/>
    <col min="19" max="19" width="10.28515625" bestFit="1" customWidth="1"/>
    <col min="20" max="20" width="6.7109375" bestFit="1" customWidth="1"/>
    <col min="21" max="21" width="8.28515625" bestFit="1" customWidth="1"/>
    <col min="22" max="22" width="7.28515625" bestFit="1" customWidth="1"/>
    <col min="23" max="23" width="12.42578125" bestFit="1" customWidth="1"/>
    <col min="28" max="30" width="9" bestFit="1" customWidth="1"/>
    <col min="31" max="31" width="12.42578125" bestFit="1" customWidth="1"/>
    <col min="36" max="38" width="9" bestFit="1" customWidth="1"/>
    <col min="39" max="39" width="12.42578125" bestFit="1" customWidth="1"/>
    <col min="46" max="46" width="11.28515625" bestFit="1" customWidth="1"/>
    <col min="52" max="52" width="11.28515625" bestFit="1" customWidth="1"/>
    <col min="58" max="58" width="11.28515625" bestFit="1" customWidth="1"/>
  </cols>
  <sheetData>
    <row r="1" spans="1:59" x14ac:dyDescent="0.2">
      <c r="C1" s="14" t="s">
        <v>7</v>
      </c>
      <c r="D1" s="15" t="s">
        <v>28</v>
      </c>
      <c r="E1" s="14" t="s">
        <v>5</v>
      </c>
      <c r="F1" s="13" t="str">
        <f>IF(D3&gt;A3,B3,IF(D3&gt;A4,B4,B5))</f>
        <v>$ Millions</v>
      </c>
      <c r="S1">
        <v>1000</v>
      </c>
    </row>
    <row r="2" spans="1:59" s="9" customFormat="1" x14ac:dyDescent="0.2">
      <c r="C2" s="9">
        <v>2</v>
      </c>
      <c r="D2" s="12" t="s">
        <v>27</v>
      </c>
      <c r="E2" s="11" t="s">
        <v>3</v>
      </c>
      <c r="F2" s="10" t="str">
        <f>TRIM(D2)</f>
        <v>Forfeitures</v>
      </c>
    </row>
    <row r="3" spans="1:59" x14ac:dyDescent="0.2">
      <c r="A3" s="8">
        <v>1000000</v>
      </c>
      <c r="B3" s="7" t="s">
        <v>2</v>
      </c>
      <c r="C3">
        <v>3</v>
      </c>
      <c r="D3" s="2">
        <v>2158856</v>
      </c>
      <c r="E3">
        <v>1980</v>
      </c>
      <c r="F3" s="1">
        <f t="shared" ref="F3:F35" si="0">IF(D3&gt;$A$3,D3/$A$3,IF(D3&gt;$A$4,D3/$A$4,D3))</f>
        <v>2.1588560000000001</v>
      </c>
    </row>
    <row r="4" spans="1:59" x14ac:dyDescent="0.2">
      <c r="A4" s="6">
        <v>1000</v>
      </c>
      <c r="B4" s="5" t="s">
        <v>1</v>
      </c>
      <c r="C4">
        <v>4</v>
      </c>
      <c r="D4" s="2">
        <v>2636992</v>
      </c>
      <c r="E4">
        <v>1981</v>
      </c>
      <c r="F4" s="1">
        <f t="shared" si="0"/>
        <v>2.6369919999999998</v>
      </c>
    </row>
    <row r="5" spans="1:59" x14ac:dyDescent="0.2">
      <c r="A5" s="4"/>
      <c r="B5" s="3" t="s">
        <v>0</v>
      </c>
      <c r="C5">
        <v>5</v>
      </c>
      <c r="D5" s="2">
        <v>2841888</v>
      </c>
      <c r="E5">
        <v>1982</v>
      </c>
      <c r="F5" s="1">
        <f t="shared" si="0"/>
        <v>2.841888</v>
      </c>
    </row>
    <row r="6" spans="1:59" x14ac:dyDescent="0.2">
      <c r="C6">
        <v>6</v>
      </c>
      <c r="D6" s="2">
        <v>2473208</v>
      </c>
      <c r="E6">
        <v>1983</v>
      </c>
      <c r="F6" s="1">
        <f t="shared" si="0"/>
        <v>2.4732080000000001</v>
      </c>
    </row>
    <row r="7" spans="1:59" x14ac:dyDescent="0.2">
      <c r="C7">
        <v>7</v>
      </c>
      <c r="D7" s="2">
        <v>4825765</v>
      </c>
      <c r="E7">
        <v>1984</v>
      </c>
      <c r="F7" s="1">
        <f t="shared" si="0"/>
        <v>4.8257649999999996</v>
      </c>
    </row>
    <row r="8" spans="1:59" x14ac:dyDescent="0.2">
      <c r="C8">
        <v>8</v>
      </c>
      <c r="D8" s="2">
        <v>3016595</v>
      </c>
      <c r="E8">
        <v>1985</v>
      </c>
      <c r="F8" s="1">
        <f t="shared" si="0"/>
        <v>3.0165950000000001</v>
      </c>
    </row>
    <row r="9" spans="1:59" ht="13.5" thickBot="1" x14ac:dyDescent="0.25">
      <c r="C9">
        <v>9</v>
      </c>
      <c r="D9" s="2">
        <v>4481673</v>
      </c>
      <c r="E9">
        <v>1986</v>
      </c>
      <c r="F9" s="1">
        <f t="shared" si="0"/>
        <v>4.4816729999999998</v>
      </c>
    </row>
    <row r="10" spans="1:59" x14ac:dyDescent="0.2">
      <c r="C10">
        <v>10</v>
      </c>
      <c r="D10" s="2">
        <v>7028173</v>
      </c>
      <c r="E10">
        <v>1987</v>
      </c>
      <c r="F10" s="1">
        <f t="shared" si="0"/>
        <v>7.0281729999999998</v>
      </c>
      <c r="H10" s="34"/>
      <c r="I10" s="35"/>
      <c r="J10" s="35"/>
      <c r="K10" s="35"/>
      <c r="L10" s="35"/>
      <c r="M10" s="35"/>
      <c r="N10" s="35"/>
      <c r="O10" s="28"/>
      <c r="R10" s="10" t="str">
        <f>E2</f>
        <v>Year</v>
      </c>
      <c r="S10" s="10" t="str">
        <f>F2</f>
        <v>Forfeitures</v>
      </c>
      <c r="T10" s="10" t="s">
        <v>26</v>
      </c>
      <c r="U10" s="10" t="s">
        <v>25</v>
      </c>
      <c r="V10" s="26" t="s">
        <v>20</v>
      </c>
      <c r="W10" s="13" t="s">
        <v>24</v>
      </c>
      <c r="Z10" t="str">
        <f>R10</f>
        <v>Year</v>
      </c>
      <c r="AA10" t="str">
        <f>S10</f>
        <v>Forfeitures</v>
      </c>
      <c r="AB10" s="14" t="s">
        <v>23</v>
      </c>
      <c r="AC10" t="str">
        <f>U10</f>
        <v>Forecast</v>
      </c>
      <c r="AD10" t="str">
        <f>V10</f>
        <v>Error</v>
      </c>
      <c r="AE10" t="str">
        <f>W10</f>
        <v>Error Squared</v>
      </c>
      <c r="AH10" t="str">
        <f>Z10</f>
        <v>Year</v>
      </c>
      <c r="AI10" t="str">
        <f>AA10</f>
        <v>Forfeitures</v>
      </c>
      <c r="AJ10" s="14" t="s">
        <v>22</v>
      </c>
      <c r="AK10" t="str">
        <f>AC10</f>
        <v>Forecast</v>
      </c>
      <c r="AL10" t="str">
        <f>AD10</f>
        <v>Error</v>
      </c>
      <c r="AM10" t="str">
        <f>AE10</f>
        <v>Error Squared</v>
      </c>
      <c r="AP10" s="25" t="str">
        <f>AH10</f>
        <v>Year</v>
      </c>
      <c r="AQ10" s="25" t="str">
        <f>AI10</f>
        <v>Forfeitures</v>
      </c>
      <c r="AR10" t="s">
        <v>21</v>
      </c>
      <c r="AS10" t="s">
        <v>20</v>
      </c>
      <c r="AT10" t="s">
        <v>19</v>
      </c>
      <c r="AV10" t="str">
        <f>AP10</f>
        <v>Year</v>
      </c>
      <c r="AW10" t="str">
        <f>AQ10</f>
        <v>Forfeitures</v>
      </c>
      <c r="AX10" t="s">
        <v>18</v>
      </c>
      <c r="AY10" t="str">
        <f>AS10</f>
        <v>Error</v>
      </c>
      <c r="AZ10" t="str">
        <f>AT10</f>
        <v>ErrorSQ</v>
      </c>
      <c r="BB10" t="str">
        <f>AV10</f>
        <v>Year</v>
      </c>
      <c r="BC10" t="str">
        <f>AW10</f>
        <v>Forfeitures</v>
      </c>
      <c r="BD10" t="s">
        <v>17</v>
      </c>
      <c r="BE10" t="str">
        <f>AY10</f>
        <v>Error</v>
      </c>
      <c r="BF10" t="str">
        <f>AZ10</f>
        <v>ErrorSQ</v>
      </c>
    </row>
    <row r="11" spans="1:59" x14ac:dyDescent="0.2">
      <c r="C11">
        <v>11</v>
      </c>
      <c r="D11" s="2">
        <v>11573762</v>
      </c>
      <c r="E11">
        <v>1988</v>
      </c>
      <c r="F11" s="1">
        <f t="shared" si="0"/>
        <v>11.573762</v>
      </c>
      <c r="H11" s="29"/>
      <c r="I11" s="36"/>
      <c r="J11" s="36"/>
      <c r="K11" s="36"/>
      <c r="L11" s="36"/>
      <c r="M11" s="36"/>
      <c r="N11" s="36"/>
      <c r="O11" s="30"/>
      <c r="W11" s="17">
        <f>AVERAGE(W20:W35)</f>
        <v>3020399.1794522936</v>
      </c>
      <c r="X11" s="14" t="s">
        <v>16</v>
      </c>
      <c r="AE11" s="17">
        <f>AVERAGE(AE20:AE35)</f>
        <v>2808622.3747554533</v>
      </c>
      <c r="AF11" s="14" t="s">
        <v>16</v>
      </c>
      <c r="AM11" s="17">
        <f>AVERAGE(AM20:AM35)</f>
        <v>2766416.4673124063</v>
      </c>
      <c r="AN11" s="14" t="s">
        <v>16</v>
      </c>
      <c r="AO11" s="14"/>
      <c r="AP11" s="14"/>
      <c r="AQ11" s="14"/>
      <c r="AR11" s="14"/>
      <c r="AS11" s="24">
        <f>AVERAGE(AS14:AS35)</f>
        <v>-141.47072916666656</v>
      </c>
      <c r="AT11" s="2">
        <f>AVERAGE(AT14:AT35)</f>
        <v>3095609.8056717291</v>
      </c>
      <c r="AU11" s="14" t="s">
        <v>16</v>
      </c>
      <c r="AV11" s="14"/>
      <c r="AW11" s="14"/>
      <c r="AX11" s="14"/>
      <c r="AY11" s="24">
        <f>AVERAGE(AY14:AY35)</f>
        <v>-369.56576250000001</v>
      </c>
      <c r="AZ11" s="2">
        <f>AVERAGE(AZ14:AZ35)</f>
        <v>2808622.3747554533</v>
      </c>
      <c r="BA11" t="str">
        <f>AU11</f>
        <v>Mean</v>
      </c>
      <c r="BB11" s="14"/>
      <c r="BC11" s="14"/>
      <c r="BD11" s="14"/>
      <c r="BE11" s="24">
        <f>AVERAGE(BE14:BE35)</f>
        <v>-574.85682142857161</v>
      </c>
      <c r="BF11" s="2">
        <f>AVERAGE(BF14:BF35)</f>
        <v>3020399.1794522936</v>
      </c>
      <c r="BG11" t="str">
        <f>BA11</f>
        <v>Mean</v>
      </c>
    </row>
    <row r="12" spans="1:59" x14ac:dyDescent="0.2">
      <c r="C12">
        <v>12</v>
      </c>
      <c r="D12" s="2">
        <v>9943769</v>
      </c>
      <c r="E12">
        <v>1989</v>
      </c>
      <c r="F12" s="1">
        <f t="shared" si="0"/>
        <v>9.9437689999999996</v>
      </c>
      <c r="H12" s="29"/>
      <c r="I12" s="36"/>
      <c r="J12" s="36"/>
      <c r="K12" s="36"/>
      <c r="L12" s="36"/>
      <c r="M12" s="36"/>
      <c r="N12" s="36"/>
      <c r="O12" s="30"/>
      <c r="W12" s="1">
        <f>SQRT(W11)</f>
        <v>1737.9295668847726</v>
      </c>
      <c r="X12" s="14" t="s">
        <v>15</v>
      </c>
      <c r="AE12" s="1">
        <f>SQRT(AE11)</f>
        <v>1675.89449988818</v>
      </c>
      <c r="AF12" s="14" t="s">
        <v>15</v>
      </c>
      <c r="AM12" s="1">
        <f>SQRT(AM11)</f>
        <v>1663.2547812384025</v>
      </c>
      <c r="AN12" s="14" t="s">
        <v>15</v>
      </c>
      <c r="AO12" s="14"/>
      <c r="AP12" s="14"/>
      <c r="AQ12" s="14"/>
      <c r="AR12" s="14"/>
      <c r="AS12" s="14"/>
      <c r="AT12" s="2">
        <f>SQRT(AT11)</f>
        <v>1759.4345130387005</v>
      </c>
      <c r="AU12" s="14" t="s">
        <v>14</v>
      </c>
      <c r="AV12" s="14"/>
      <c r="AW12" s="14"/>
      <c r="AX12" s="14"/>
      <c r="AY12" s="14"/>
      <c r="AZ12" s="2">
        <f>SQRT(AZ11)</f>
        <v>1675.89449988818</v>
      </c>
      <c r="BA12" t="str">
        <f>AU12</f>
        <v>RMSE</v>
      </c>
      <c r="BB12" s="14"/>
      <c r="BC12" s="14"/>
      <c r="BD12" s="14"/>
      <c r="BE12" s="14"/>
      <c r="BF12" s="2">
        <f>SQRT(BF11)</f>
        <v>1737.9295668847726</v>
      </c>
      <c r="BG12" t="str">
        <f>BA12</f>
        <v>RMSE</v>
      </c>
    </row>
    <row r="13" spans="1:59" x14ac:dyDescent="0.2">
      <c r="C13">
        <v>13</v>
      </c>
      <c r="D13" s="2">
        <v>7467584</v>
      </c>
      <c r="E13">
        <v>1990</v>
      </c>
      <c r="F13" s="1">
        <f t="shared" si="0"/>
        <v>7.4675840000000004</v>
      </c>
      <c r="H13" s="29"/>
      <c r="I13" s="36"/>
      <c r="J13" s="36"/>
      <c r="K13" s="36"/>
      <c r="L13" s="36"/>
      <c r="M13" s="36"/>
      <c r="N13" s="36"/>
      <c r="O13" s="30"/>
      <c r="R13">
        <f t="shared" ref="R13:R35" si="1">E13</f>
        <v>1990</v>
      </c>
      <c r="S13" s="17">
        <f t="shared" ref="S13:S35" si="2">D13/S$1</f>
        <v>7467.5839999999998</v>
      </c>
      <c r="Z13">
        <f t="shared" ref="Z13:Z35" si="3">R13</f>
        <v>1990</v>
      </c>
      <c r="AA13" s="17">
        <f t="shared" ref="AA13:AA35" si="4">S13</f>
        <v>7467.5839999999998</v>
      </c>
      <c r="AH13">
        <f t="shared" ref="AH13:AH35" si="5">Z13</f>
        <v>1990</v>
      </c>
      <c r="AI13" s="17">
        <f t="shared" ref="AI13:AI35" si="6">AA13</f>
        <v>7467.5839999999998</v>
      </c>
      <c r="AP13">
        <f t="shared" ref="AP13:AP35" si="7">AH13</f>
        <v>1990</v>
      </c>
      <c r="AQ13" s="17">
        <f t="shared" ref="AQ13:AQ35" si="8">AI13</f>
        <v>7467.5839999999998</v>
      </c>
      <c r="AT13" s="1"/>
      <c r="AV13">
        <f t="shared" ref="AV13:AV35" si="9">AP13</f>
        <v>1990</v>
      </c>
      <c r="AW13" s="17">
        <f t="shared" ref="AW13:AW35" si="10">AQ13</f>
        <v>7467.5839999999998</v>
      </c>
      <c r="AZ13" s="1"/>
      <c r="BB13">
        <f t="shared" ref="BB13:BB35" si="11">AV13</f>
        <v>1990</v>
      </c>
      <c r="BC13" s="17">
        <f t="shared" ref="BC13:BC35" si="12">AW13</f>
        <v>7467.5839999999998</v>
      </c>
      <c r="BF13" s="1"/>
    </row>
    <row r="14" spans="1:59" x14ac:dyDescent="0.2">
      <c r="C14">
        <v>14</v>
      </c>
      <c r="D14" s="2">
        <v>7356050</v>
      </c>
      <c r="E14">
        <v>1991</v>
      </c>
      <c r="F14" s="1">
        <f t="shared" si="0"/>
        <v>7.3560499999999998</v>
      </c>
      <c r="H14" s="29"/>
      <c r="I14" s="36"/>
      <c r="J14" s="36"/>
      <c r="K14" s="36"/>
      <c r="L14" s="36"/>
      <c r="M14" s="36"/>
      <c r="N14" s="36"/>
      <c r="O14" s="30"/>
      <c r="R14">
        <f t="shared" si="1"/>
        <v>1991</v>
      </c>
      <c r="S14" s="17">
        <f t="shared" si="2"/>
        <v>7356.05</v>
      </c>
      <c r="Z14">
        <f t="shared" si="3"/>
        <v>1991</v>
      </c>
      <c r="AA14" s="17">
        <f t="shared" si="4"/>
        <v>7356.05</v>
      </c>
      <c r="AH14">
        <f t="shared" si="5"/>
        <v>1991</v>
      </c>
      <c r="AI14" s="17">
        <f t="shared" si="6"/>
        <v>7356.05</v>
      </c>
      <c r="AP14">
        <f t="shared" si="7"/>
        <v>1991</v>
      </c>
      <c r="AQ14" s="17">
        <f t="shared" si="8"/>
        <v>7356.05</v>
      </c>
      <c r="AR14" t="e">
        <v>#N/A</v>
      </c>
      <c r="AT14" s="1"/>
      <c r="AV14">
        <f t="shared" si="9"/>
        <v>1991</v>
      </c>
      <c r="AW14" s="17">
        <f t="shared" si="10"/>
        <v>7356.05</v>
      </c>
      <c r="AX14" t="e">
        <v>#N/A</v>
      </c>
      <c r="AZ14" s="1"/>
      <c r="BB14">
        <f t="shared" si="11"/>
        <v>1991</v>
      </c>
      <c r="BC14" s="17">
        <f t="shared" si="12"/>
        <v>7356.05</v>
      </c>
      <c r="BD14" t="e">
        <v>#N/A</v>
      </c>
      <c r="BF14" s="1"/>
    </row>
    <row r="15" spans="1:59" ht="13.5" thickBot="1" x14ac:dyDescent="0.25">
      <c r="C15">
        <v>15</v>
      </c>
      <c r="D15" s="2">
        <v>6771044</v>
      </c>
      <c r="E15">
        <v>1992</v>
      </c>
      <c r="F15" s="1">
        <f t="shared" si="0"/>
        <v>6.7710439999999998</v>
      </c>
      <c r="H15" s="29"/>
      <c r="I15" s="36"/>
      <c r="J15" s="36"/>
      <c r="K15" s="36"/>
      <c r="L15" s="36"/>
      <c r="M15" s="36"/>
      <c r="N15" s="36"/>
      <c r="O15" s="30"/>
      <c r="R15">
        <f t="shared" si="1"/>
        <v>1992</v>
      </c>
      <c r="S15" s="17">
        <f t="shared" si="2"/>
        <v>6771.0439999999999</v>
      </c>
      <c r="Z15">
        <f t="shared" si="3"/>
        <v>1992</v>
      </c>
      <c r="AA15" s="17">
        <f t="shared" si="4"/>
        <v>6771.0439999999999</v>
      </c>
      <c r="AH15">
        <f t="shared" si="5"/>
        <v>1992</v>
      </c>
      <c r="AI15" s="17">
        <f t="shared" si="6"/>
        <v>6771.0439999999999</v>
      </c>
      <c r="AJ15" s="17">
        <f t="shared" ref="AJ15:AJ35" si="13">AVERAGE(AI12:AI15)</f>
        <v>7198.2259999999997</v>
      </c>
      <c r="AK15" s="17"/>
      <c r="AL15" s="17"/>
      <c r="AP15">
        <f t="shared" si="7"/>
        <v>1992</v>
      </c>
      <c r="AQ15" s="17">
        <f t="shared" si="8"/>
        <v>6771.0439999999999</v>
      </c>
      <c r="AR15" t="e">
        <v>#N/A</v>
      </c>
      <c r="AT15" s="1"/>
      <c r="AV15">
        <f t="shared" si="9"/>
        <v>1992</v>
      </c>
      <c r="AW15" s="17">
        <f t="shared" si="10"/>
        <v>6771.0439999999999</v>
      </c>
      <c r="AX15" t="e">
        <v>#N/A</v>
      </c>
      <c r="AZ15" s="1"/>
      <c r="BB15">
        <f t="shared" si="11"/>
        <v>1992</v>
      </c>
      <c r="BC15" s="17">
        <f t="shared" si="12"/>
        <v>6771.0439999999999</v>
      </c>
      <c r="BD15" t="e">
        <v>#N/A</v>
      </c>
      <c r="BF15" s="1"/>
    </row>
    <row r="16" spans="1:59" x14ac:dyDescent="0.2">
      <c r="C16">
        <v>16</v>
      </c>
      <c r="D16" s="2">
        <v>8737958</v>
      </c>
      <c r="E16">
        <v>1993</v>
      </c>
      <c r="F16" s="1">
        <f t="shared" si="0"/>
        <v>8.7379580000000008</v>
      </c>
      <c r="H16" s="29"/>
      <c r="I16" s="36"/>
      <c r="J16" s="36"/>
      <c r="K16" s="36"/>
      <c r="L16" s="36"/>
      <c r="M16" s="36"/>
      <c r="N16" s="36"/>
      <c r="O16" s="30"/>
      <c r="R16">
        <f t="shared" si="1"/>
        <v>1993</v>
      </c>
      <c r="S16" s="17">
        <f t="shared" si="2"/>
        <v>8737.9580000000005</v>
      </c>
      <c r="Z16">
        <f t="shared" si="3"/>
        <v>1993</v>
      </c>
      <c r="AA16" s="17">
        <f t="shared" si="4"/>
        <v>8737.9580000000005</v>
      </c>
      <c r="AH16">
        <f t="shared" si="5"/>
        <v>1993</v>
      </c>
      <c r="AI16" s="17">
        <f t="shared" si="6"/>
        <v>8737.9580000000005</v>
      </c>
      <c r="AJ16" s="17">
        <f t="shared" si="13"/>
        <v>7583.1589999999997</v>
      </c>
      <c r="AK16" s="17">
        <f t="shared" ref="AK16:AK39" si="14">IF(AJ15="",AK15,AJ15)</f>
        <v>7198.2259999999997</v>
      </c>
      <c r="AL16" s="17">
        <f t="shared" ref="AL16:AL35" si="15">AK16-AI16</f>
        <v>-1539.7320000000009</v>
      </c>
      <c r="AP16">
        <f t="shared" si="7"/>
        <v>1993</v>
      </c>
      <c r="AQ16" s="17">
        <f t="shared" si="8"/>
        <v>8737.9580000000005</v>
      </c>
      <c r="AR16" s="17">
        <f t="shared" ref="AR16:AR36" si="16">AVERAGE(AQ13:AQ15)</f>
        <v>7198.2259999999997</v>
      </c>
      <c r="AS16" s="21"/>
      <c r="AT16" s="20"/>
      <c r="AV16">
        <f t="shared" si="9"/>
        <v>1993</v>
      </c>
      <c r="AW16" s="17">
        <f t="shared" si="10"/>
        <v>8737.9580000000005</v>
      </c>
      <c r="AX16" t="e">
        <v>#N/A</v>
      </c>
      <c r="AY16" s="17"/>
      <c r="AZ16" s="1"/>
      <c r="BB16">
        <f t="shared" si="11"/>
        <v>1993</v>
      </c>
      <c r="BC16" s="17">
        <f t="shared" si="12"/>
        <v>8737.9580000000005</v>
      </c>
      <c r="BD16" t="e">
        <v>#N/A</v>
      </c>
      <c r="BE16" s="17"/>
      <c r="BF16" s="1"/>
    </row>
    <row r="17" spans="3:75" ht="13.5" thickBot="1" x14ac:dyDescent="0.25">
      <c r="C17">
        <v>17</v>
      </c>
      <c r="D17" s="2">
        <v>7907044</v>
      </c>
      <c r="E17">
        <v>1994</v>
      </c>
      <c r="F17" s="1">
        <f t="shared" si="0"/>
        <v>7.907044</v>
      </c>
      <c r="H17" s="29"/>
      <c r="I17" s="36"/>
      <c r="J17" s="36"/>
      <c r="K17" s="36"/>
      <c r="L17" s="36"/>
      <c r="M17" s="36"/>
      <c r="N17" s="36"/>
      <c r="O17" s="30"/>
      <c r="R17">
        <f t="shared" si="1"/>
        <v>1994</v>
      </c>
      <c r="S17" s="17">
        <f t="shared" si="2"/>
        <v>7907.0439999999999</v>
      </c>
      <c r="Z17">
        <f t="shared" si="3"/>
        <v>1994</v>
      </c>
      <c r="AA17" s="17">
        <f t="shared" si="4"/>
        <v>7907.0439999999999</v>
      </c>
      <c r="AB17" s="17">
        <f t="shared" ref="AB17:AB35" si="17">AVERAGE(AA13:AA17)</f>
        <v>7647.9359999999997</v>
      </c>
      <c r="AH17">
        <f t="shared" si="5"/>
        <v>1994</v>
      </c>
      <c r="AI17" s="17">
        <f t="shared" si="6"/>
        <v>7907.0439999999999</v>
      </c>
      <c r="AJ17" s="17">
        <f t="shared" si="13"/>
        <v>7693.0240000000013</v>
      </c>
      <c r="AK17" s="17">
        <f t="shared" si="14"/>
        <v>7583.1589999999997</v>
      </c>
      <c r="AL17" s="17">
        <f t="shared" si="15"/>
        <v>-323.88500000000022</v>
      </c>
      <c r="AP17">
        <f t="shared" si="7"/>
        <v>1994</v>
      </c>
      <c r="AQ17" s="17">
        <f t="shared" si="8"/>
        <v>7907.0439999999999</v>
      </c>
      <c r="AR17" s="17">
        <f t="shared" si="16"/>
        <v>7621.6840000000011</v>
      </c>
      <c r="AS17" s="23"/>
      <c r="AT17" s="22"/>
      <c r="AV17">
        <f t="shared" si="9"/>
        <v>1994</v>
      </c>
      <c r="AW17" s="17">
        <f t="shared" si="10"/>
        <v>7907.0439999999999</v>
      </c>
      <c r="AX17" t="e">
        <v>#N/A</v>
      </c>
      <c r="AY17" s="17"/>
      <c r="AZ17" s="1"/>
      <c r="BB17">
        <f t="shared" si="11"/>
        <v>1994</v>
      </c>
      <c r="BC17" s="17">
        <f t="shared" si="12"/>
        <v>7907.0439999999999</v>
      </c>
      <c r="BD17" t="e">
        <v>#N/A</v>
      </c>
      <c r="BE17" s="17"/>
      <c r="BF17" s="1"/>
    </row>
    <row r="18" spans="3:75" x14ac:dyDescent="0.2">
      <c r="C18">
        <v>18</v>
      </c>
      <c r="D18" s="2">
        <v>6674609</v>
      </c>
      <c r="E18">
        <v>1995</v>
      </c>
      <c r="F18" s="1">
        <f t="shared" si="0"/>
        <v>6.6746090000000002</v>
      </c>
      <c r="H18" s="29"/>
      <c r="I18" s="36"/>
      <c r="J18" s="36"/>
      <c r="K18" s="36"/>
      <c r="L18" s="36"/>
      <c r="M18" s="36"/>
      <c r="N18" s="36"/>
      <c r="O18" s="30"/>
      <c r="R18">
        <f t="shared" si="1"/>
        <v>1995</v>
      </c>
      <c r="S18" s="17">
        <f t="shared" si="2"/>
        <v>6674.6090000000004</v>
      </c>
      <c r="Z18">
        <f t="shared" si="3"/>
        <v>1995</v>
      </c>
      <c r="AA18" s="17">
        <f t="shared" si="4"/>
        <v>6674.6090000000004</v>
      </c>
      <c r="AB18" s="17">
        <f t="shared" si="17"/>
        <v>7489.3410000000003</v>
      </c>
      <c r="AC18" s="17">
        <f t="shared" ref="AC18:AC39" si="18">IF(AB17="",AC17,AB17)</f>
        <v>7647.9359999999997</v>
      </c>
      <c r="AD18" s="17">
        <f t="shared" ref="AD18:AD35" si="19">AC18-AA18</f>
        <v>973.32699999999932</v>
      </c>
      <c r="AH18">
        <f t="shared" si="5"/>
        <v>1995</v>
      </c>
      <c r="AI18" s="17">
        <f t="shared" si="6"/>
        <v>6674.6090000000004</v>
      </c>
      <c r="AJ18" s="17">
        <f t="shared" si="13"/>
        <v>7522.6637500000006</v>
      </c>
      <c r="AK18" s="17">
        <f t="shared" si="14"/>
        <v>7693.0240000000013</v>
      </c>
      <c r="AL18" s="17">
        <f t="shared" si="15"/>
        <v>1018.4150000000009</v>
      </c>
      <c r="AP18">
        <f t="shared" si="7"/>
        <v>1995</v>
      </c>
      <c r="AQ18" s="17">
        <f t="shared" si="8"/>
        <v>6674.6090000000004</v>
      </c>
      <c r="AR18" s="17">
        <f t="shared" si="16"/>
        <v>7805.3486666666677</v>
      </c>
      <c r="AS18" s="23"/>
      <c r="AT18" s="22"/>
      <c r="AV18">
        <f t="shared" si="9"/>
        <v>1995</v>
      </c>
      <c r="AW18" s="17">
        <f t="shared" si="10"/>
        <v>6674.6090000000004</v>
      </c>
      <c r="AX18" s="17">
        <f t="shared" ref="AX18:AX36" si="20">AVERAGE(AQ13:AQ17)</f>
        <v>7647.9359999999997</v>
      </c>
      <c r="AY18" s="21"/>
      <c r="AZ18" s="20"/>
      <c r="BB18">
        <f t="shared" si="11"/>
        <v>1995</v>
      </c>
      <c r="BC18" s="17">
        <f t="shared" si="12"/>
        <v>6674.6090000000004</v>
      </c>
      <c r="BD18" t="e">
        <v>#N/A</v>
      </c>
      <c r="BE18" s="17"/>
      <c r="BF18" s="1"/>
    </row>
    <row r="19" spans="3:75" ht="13.5" thickBot="1" x14ac:dyDescent="0.25">
      <c r="C19">
        <v>19</v>
      </c>
      <c r="D19" s="2">
        <v>2816457</v>
      </c>
      <c r="E19">
        <v>1996</v>
      </c>
      <c r="F19" s="1">
        <f t="shared" si="0"/>
        <v>2.8164570000000002</v>
      </c>
      <c r="H19" s="29"/>
      <c r="I19" s="36"/>
      <c r="J19" s="36"/>
      <c r="K19" s="36"/>
      <c r="L19" s="36"/>
      <c r="M19" s="36"/>
      <c r="N19" s="36"/>
      <c r="O19" s="30"/>
      <c r="R19">
        <f t="shared" si="1"/>
        <v>1996</v>
      </c>
      <c r="S19" s="17">
        <f t="shared" si="2"/>
        <v>2816.4569999999999</v>
      </c>
      <c r="T19" s="17">
        <f t="shared" ref="T19:T35" si="21">AVERAGE(S13:S19)</f>
        <v>6818.6780000000008</v>
      </c>
      <c r="Z19">
        <f t="shared" si="3"/>
        <v>1996</v>
      </c>
      <c r="AA19" s="17">
        <f t="shared" si="4"/>
        <v>2816.4569999999999</v>
      </c>
      <c r="AB19" s="17">
        <f t="shared" si="17"/>
        <v>6581.4224000000004</v>
      </c>
      <c r="AC19" s="17">
        <f t="shared" si="18"/>
        <v>7489.3410000000003</v>
      </c>
      <c r="AD19" s="17">
        <f t="shared" si="19"/>
        <v>4672.884</v>
      </c>
      <c r="AH19">
        <f t="shared" si="5"/>
        <v>1996</v>
      </c>
      <c r="AI19" s="17">
        <f t="shared" si="6"/>
        <v>2816.4569999999999</v>
      </c>
      <c r="AJ19" s="17">
        <f t="shared" si="13"/>
        <v>6534.0169999999998</v>
      </c>
      <c r="AK19" s="17">
        <f t="shared" si="14"/>
        <v>7522.6637500000006</v>
      </c>
      <c r="AL19" s="17">
        <f t="shared" si="15"/>
        <v>4706.2067500000012</v>
      </c>
      <c r="AP19">
        <f t="shared" si="7"/>
        <v>1996</v>
      </c>
      <c r="AQ19" s="17">
        <f t="shared" si="8"/>
        <v>2816.4569999999999</v>
      </c>
      <c r="AR19" s="17">
        <f t="shared" si="16"/>
        <v>7773.2036666666672</v>
      </c>
      <c r="AS19" s="19"/>
      <c r="AT19" s="18"/>
      <c r="AV19">
        <f t="shared" si="9"/>
        <v>1996</v>
      </c>
      <c r="AW19" s="17">
        <f t="shared" si="10"/>
        <v>2816.4569999999999</v>
      </c>
      <c r="AX19" s="17">
        <f t="shared" si="20"/>
        <v>7489.3410000000003</v>
      </c>
      <c r="AY19" s="19"/>
      <c r="AZ19" s="18"/>
      <c r="BB19">
        <f t="shared" si="11"/>
        <v>1996</v>
      </c>
      <c r="BC19" s="17">
        <f t="shared" si="12"/>
        <v>2816.4569999999999</v>
      </c>
      <c r="BD19" t="e">
        <v>#N/A</v>
      </c>
      <c r="BE19" s="17"/>
      <c r="BF19" s="1"/>
    </row>
    <row r="20" spans="3:75" x14ac:dyDescent="0.2">
      <c r="C20">
        <v>20</v>
      </c>
      <c r="D20" s="2">
        <v>8425013</v>
      </c>
      <c r="E20">
        <v>1997</v>
      </c>
      <c r="F20" s="1">
        <f t="shared" si="0"/>
        <v>8.4250129999999999</v>
      </c>
      <c r="H20" s="29"/>
      <c r="I20" s="36"/>
      <c r="J20" s="36"/>
      <c r="K20" s="36"/>
      <c r="L20" s="36"/>
      <c r="M20" s="36"/>
      <c r="N20" s="36"/>
      <c r="O20" s="30"/>
      <c r="R20">
        <f t="shared" si="1"/>
        <v>1997</v>
      </c>
      <c r="S20" s="17">
        <f t="shared" si="2"/>
        <v>8425.0130000000008</v>
      </c>
      <c r="T20" s="17">
        <f t="shared" si="21"/>
        <v>6955.4535714285721</v>
      </c>
      <c r="U20" s="17">
        <f t="shared" ref="U20:U39" si="22">IF(T19="",U19,T19)</f>
        <v>6818.6780000000008</v>
      </c>
      <c r="V20" s="17">
        <f t="shared" ref="V20:V35" si="23">U20-S20</f>
        <v>-1606.335</v>
      </c>
      <c r="W20" s="17">
        <f t="shared" ref="W20:W35" si="24">V20^2</f>
        <v>2580312.1322250003</v>
      </c>
      <c r="Z20">
        <f t="shared" si="3"/>
        <v>1997</v>
      </c>
      <c r="AA20" s="17">
        <f t="shared" si="4"/>
        <v>8425.0130000000008</v>
      </c>
      <c r="AB20" s="17">
        <f t="shared" si="17"/>
        <v>6912.2161999999998</v>
      </c>
      <c r="AC20" s="17">
        <f t="shared" si="18"/>
        <v>6581.4224000000004</v>
      </c>
      <c r="AD20" s="17">
        <f t="shared" si="19"/>
        <v>-1843.5906000000004</v>
      </c>
      <c r="AE20" s="17">
        <f t="shared" ref="AE20:AE35" si="25">AD20^2</f>
        <v>3398826.3004083615</v>
      </c>
      <c r="AH20">
        <f t="shared" si="5"/>
        <v>1997</v>
      </c>
      <c r="AI20" s="17">
        <f t="shared" si="6"/>
        <v>8425.0130000000008</v>
      </c>
      <c r="AJ20" s="17">
        <f t="shared" si="13"/>
        <v>6455.7807499999999</v>
      </c>
      <c r="AK20" s="17">
        <f t="shared" si="14"/>
        <v>6534.0169999999998</v>
      </c>
      <c r="AL20" s="17">
        <f t="shared" si="15"/>
        <v>-1890.996000000001</v>
      </c>
      <c r="AM20" s="17">
        <f t="shared" ref="AM20:AM35" si="26">AL20^2</f>
        <v>3575865.8720160038</v>
      </c>
      <c r="AP20">
        <f t="shared" si="7"/>
        <v>1997</v>
      </c>
      <c r="AQ20" s="17">
        <f t="shared" si="8"/>
        <v>8425.0130000000008</v>
      </c>
      <c r="AR20" s="17">
        <f t="shared" si="16"/>
        <v>5799.37</v>
      </c>
      <c r="AS20" s="17">
        <f t="shared" ref="AS20:AS35" si="27">AQ20-AR20</f>
        <v>2625.6430000000009</v>
      </c>
      <c r="AT20" s="1">
        <f t="shared" ref="AT20:AT35" si="28">AS20^2</f>
        <v>6894001.1634490052</v>
      </c>
      <c r="AV20">
        <f t="shared" si="9"/>
        <v>1997</v>
      </c>
      <c r="AW20" s="17">
        <f t="shared" si="10"/>
        <v>8425.0130000000008</v>
      </c>
      <c r="AX20" s="17">
        <f t="shared" si="20"/>
        <v>6581.4224000000004</v>
      </c>
      <c r="AY20" s="17">
        <f t="shared" ref="AY20:AY35" si="29">AW20-AX20</f>
        <v>1843.5906000000004</v>
      </c>
      <c r="AZ20" s="1">
        <f t="shared" ref="AZ20:AZ35" si="30">AY20^2</f>
        <v>3398826.3004083615</v>
      </c>
      <c r="BB20">
        <f t="shared" si="11"/>
        <v>1997</v>
      </c>
      <c r="BC20" s="17">
        <f t="shared" si="12"/>
        <v>8425.0130000000008</v>
      </c>
      <c r="BD20" s="17">
        <f t="shared" ref="BD20:BD36" si="31">AVERAGE(AQ13:AQ19)</f>
        <v>6818.6780000000008</v>
      </c>
      <c r="BE20" s="17">
        <f t="shared" ref="BE20:BE35" si="32">BC20-BD20</f>
        <v>1606.335</v>
      </c>
      <c r="BF20" s="1">
        <f t="shared" ref="BF20:BF35" si="33">BE20^2</f>
        <v>2580312.1322250003</v>
      </c>
    </row>
    <row r="21" spans="3:75" x14ac:dyDescent="0.2">
      <c r="C21">
        <v>21</v>
      </c>
      <c r="D21" s="2">
        <v>4454135</v>
      </c>
      <c r="E21">
        <v>1998</v>
      </c>
      <c r="F21" s="1">
        <f t="shared" si="0"/>
        <v>4.454135</v>
      </c>
      <c r="H21" s="29"/>
      <c r="I21" s="36"/>
      <c r="J21" s="36"/>
      <c r="K21" s="36"/>
      <c r="L21" s="36"/>
      <c r="M21" s="36"/>
      <c r="N21" s="36"/>
      <c r="O21" s="30"/>
      <c r="R21">
        <f t="shared" si="1"/>
        <v>1998</v>
      </c>
      <c r="S21" s="17">
        <f t="shared" si="2"/>
        <v>4454.1350000000002</v>
      </c>
      <c r="T21" s="17">
        <f t="shared" si="21"/>
        <v>6540.8942857142856</v>
      </c>
      <c r="U21" s="17">
        <f t="shared" si="22"/>
        <v>6955.4535714285721</v>
      </c>
      <c r="V21" s="17">
        <f t="shared" si="23"/>
        <v>2501.3185714285719</v>
      </c>
      <c r="W21" s="17">
        <f t="shared" si="24"/>
        <v>6256594.5957734715</v>
      </c>
      <c r="Z21">
        <f t="shared" si="3"/>
        <v>1998</v>
      </c>
      <c r="AA21" s="17">
        <f t="shared" si="4"/>
        <v>4454.1350000000002</v>
      </c>
      <c r="AB21" s="17">
        <f t="shared" si="17"/>
        <v>6055.4516000000003</v>
      </c>
      <c r="AC21" s="17">
        <f t="shared" si="18"/>
        <v>6912.2161999999998</v>
      </c>
      <c r="AD21" s="17">
        <f t="shared" si="19"/>
        <v>2458.0811999999996</v>
      </c>
      <c r="AE21" s="17">
        <f t="shared" si="25"/>
        <v>6042163.185793438</v>
      </c>
      <c r="AH21">
        <f t="shared" si="5"/>
        <v>1998</v>
      </c>
      <c r="AI21" s="17">
        <f t="shared" si="6"/>
        <v>4454.1350000000002</v>
      </c>
      <c r="AJ21" s="17">
        <f t="shared" si="13"/>
        <v>5592.5535</v>
      </c>
      <c r="AK21" s="17">
        <f t="shared" si="14"/>
        <v>6455.7807499999999</v>
      </c>
      <c r="AL21" s="17">
        <f t="shared" si="15"/>
        <v>2001.6457499999997</v>
      </c>
      <c r="AM21" s="17">
        <f t="shared" si="26"/>
        <v>4006585.7084930614</v>
      </c>
      <c r="AP21">
        <f t="shared" si="7"/>
        <v>1998</v>
      </c>
      <c r="AQ21" s="17">
        <f t="shared" si="8"/>
        <v>4454.1350000000002</v>
      </c>
      <c r="AR21" s="17">
        <f t="shared" si="16"/>
        <v>5972.0263333333342</v>
      </c>
      <c r="AS21" s="17">
        <f t="shared" si="27"/>
        <v>-1517.8913333333339</v>
      </c>
      <c r="AT21" s="1">
        <f t="shared" si="28"/>
        <v>2303994.0998084461</v>
      </c>
      <c r="AV21">
        <f t="shared" si="9"/>
        <v>1998</v>
      </c>
      <c r="AW21" s="17">
        <f t="shared" si="10"/>
        <v>4454.1350000000002</v>
      </c>
      <c r="AX21" s="17">
        <f t="shared" si="20"/>
        <v>6912.2161999999998</v>
      </c>
      <c r="AY21" s="17">
        <f t="shared" si="29"/>
        <v>-2458.0811999999996</v>
      </c>
      <c r="AZ21" s="1">
        <f t="shared" si="30"/>
        <v>6042163.185793438</v>
      </c>
      <c r="BB21">
        <f t="shared" si="11"/>
        <v>1998</v>
      </c>
      <c r="BC21" s="17">
        <f t="shared" si="12"/>
        <v>4454.1350000000002</v>
      </c>
      <c r="BD21" s="17">
        <f t="shared" si="31"/>
        <v>6955.4535714285721</v>
      </c>
      <c r="BE21" s="17">
        <f t="shared" si="32"/>
        <v>-2501.3185714285719</v>
      </c>
      <c r="BF21" s="1">
        <f t="shared" si="33"/>
        <v>6256594.5957734715</v>
      </c>
    </row>
    <row r="22" spans="3:75" x14ac:dyDescent="0.2">
      <c r="C22">
        <v>22</v>
      </c>
      <c r="D22" s="2">
        <v>8887769</v>
      </c>
      <c r="E22">
        <v>1999</v>
      </c>
      <c r="F22" s="1">
        <f t="shared" si="0"/>
        <v>8.8877690000000005</v>
      </c>
      <c r="H22" s="29"/>
      <c r="I22" s="36"/>
      <c r="J22" s="36"/>
      <c r="K22" s="36"/>
      <c r="L22" s="36"/>
      <c r="M22" s="36"/>
      <c r="N22" s="36"/>
      <c r="O22" s="30"/>
      <c r="R22">
        <f t="shared" si="1"/>
        <v>1999</v>
      </c>
      <c r="S22" s="17">
        <f t="shared" si="2"/>
        <v>8887.7690000000002</v>
      </c>
      <c r="T22" s="17">
        <f t="shared" si="21"/>
        <v>6843.2835714285711</v>
      </c>
      <c r="U22" s="17">
        <f t="shared" si="22"/>
        <v>6540.8942857142856</v>
      </c>
      <c r="V22" s="17">
        <f t="shared" si="23"/>
        <v>-2346.8747142857146</v>
      </c>
      <c r="W22" s="17">
        <f t="shared" si="24"/>
        <v>5507820.9245536542</v>
      </c>
      <c r="Z22">
        <f t="shared" si="3"/>
        <v>1999</v>
      </c>
      <c r="AA22" s="17">
        <f t="shared" si="4"/>
        <v>8887.7690000000002</v>
      </c>
      <c r="AB22" s="17">
        <f t="shared" si="17"/>
        <v>6251.5965999999999</v>
      </c>
      <c r="AC22" s="17">
        <f t="shared" si="18"/>
        <v>6055.4516000000003</v>
      </c>
      <c r="AD22" s="17">
        <f t="shared" si="19"/>
        <v>-2832.3173999999999</v>
      </c>
      <c r="AE22" s="17">
        <f t="shared" si="25"/>
        <v>8022021.8543427596</v>
      </c>
      <c r="AH22">
        <f t="shared" si="5"/>
        <v>1999</v>
      </c>
      <c r="AI22" s="17">
        <f t="shared" si="6"/>
        <v>8887.7690000000002</v>
      </c>
      <c r="AJ22" s="17">
        <f t="shared" si="13"/>
        <v>6145.8435000000009</v>
      </c>
      <c r="AK22" s="17">
        <f t="shared" si="14"/>
        <v>5592.5535</v>
      </c>
      <c r="AL22" s="17">
        <f t="shared" si="15"/>
        <v>-3295.2155000000002</v>
      </c>
      <c r="AM22" s="17">
        <f t="shared" si="26"/>
        <v>10858445.191440251</v>
      </c>
      <c r="AP22">
        <f t="shared" si="7"/>
        <v>1999</v>
      </c>
      <c r="AQ22" s="17">
        <f t="shared" si="8"/>
        <v>8887.7690000000002</v>
      </c>
      <c r="AR22" s="17">
        <f t="shared" si="16"/>
        <v>5231.8683333333338</v>
      </c>
      <c r="AS22" s="17">
        <f t="shared" si="27"/>
        <v>3655.9006666666664</v>
      </c>
      <c r="AT22" s="1">
        <f t="shared" si="28"/>
        <v>13365609.684533777</v>
      </c>
      <c r="AV22">
        <f t="shared" si="9"/>
        <v>1999</v>
      </c>
      <c r="AW22" s="17">
        <f t="shared" si="10"/>
        <v>8887.7690000000002</v>
      </c>
      <c r="AX22" s="17">
        <f t="shared" si="20"/>
        <v>6055.4516000000003</v>
      </c>
      <c r="AY22" s="17">
        <f t="shared" si="29"/>
        <v>2832.3173999999999</v>
      </c>
      <c r="AZ22" s="1">
        <f t="shared" si="30"/>
        <v>8022021.8543427596</v>
      </c>
      <c r="BB22">
        <f t="shared" si="11"/>
        <v>1999</v>
      </c>
      <c r="BC22" s="17">
        <f t="shared" si="12"/>
        <v>8887.7690000000002</v>
      </c>
      <c r="BD22" s="17">
        <f t="shared" si="31"/>
        <v>6540.8942857142856</v>
      </c>
      <c r="BE22" s="17">
        <f t="shared" si="32"/>
        <v>2346.8747142857146</v>
      </c>
      <c r="BF22" s="1">
        <f t="shared" si="33"/>
        <v>5507820.9245536542</v>
      </c>
    </row>
    <row r="23" spans="3:75" x14ac:dyDescent="0.2">
      <c r="C23">
        <v>23</v>
      </c>
      <c r="D23" s="2">
        <v>5829907</v>
      </c>
      <c r="E23">
        <v>2000</v>
      </c>
      <c r="F23" s="1">
        <f t="shared" si="0"/>
        <v>5.8299070000000004</v>
      </c>
      <c r="H23" s="29"/>
      <c r="I23" s="36"/>
      <c r="J23" s="36"/>
      <c r="K23" s="36"/>
      <c r="L23" s="36"/>
      <c r="M23" s="36"/>
      <c r="N23" s="36"/>
      <c r="O23" s="30"/>
      <c r="R23">
        <f t="shared" si="1"/>
        <v>2000</v>
      </c>
      <c r="S23" s="17">
        <f t="shared" si="2"/>
        <v>5829.9070000000002</v>
      </c>
      <c r="T23" s="17">
        <f t="shared" si="21"/>
        <v>6427.8477142857146</v>
      </c>
      <c r="U23" s="17">
        <f t="shared" si="22"/>
        <v>6843.2835714285711</v>
      </c>
      <c r="V23" s="17">
        <f t="shared" si="23"/>
        <v>1013.376571428571</v>
      </c>
      <c r="W23" s="17">
        <f t="shared" si="24"/>
        <v>1026932.0755203256</v>
      </c>
      <c r="Z23">
        <f t="shared" si="3"/>
        <v>2000</v>
      </c>
      <c r="AA23" s="17">
        <f t="shared" si="4"/>
        <v>5829.9070000000002</v>
      </c>
      <c r="AB23" s="17">
        <f t="shared" si="17"/>
        <v>6082.6562000000004</v>
      </c>
      <c r="AC23" s="17">
        <f t="shared" si="18"/>
        <v>6251.5965999999999</v>
      </c>
      <c r="AD23" s="17">
        <f t="shared" si="19"/>
        <v>421.6895999999997</v>
      </c>
      <c r="AE23" s="17">
        <f t="shared" si="25"/>
        <v>177822.11874815976</v>
      </c>
      <c r="AH23">
        <f t="shared" si="5"/>
        <v>2000</v>
      </c>
      <c r="AI23" s="17">
        <f t="shared" si="6"/>
        <v>5829.9070000000002</v>
      </c>
      <c r="AJ23" s="17">
        <f t="shared" si="13"/>
        <v>6899.2060000000001</v>
      </c>
      <c r="AK23" s="17">
        <f t="shared" si="14"/>
        <v>6145.8435000000009</v>
      </c>
      <c r="AL23" s="17">
        <f t="shared" si="15"/>
        <v>315.93650000000071</v>
      </c>
      <c r="AM23" s="17">
        <f t="shared" si="26"/>
        <v>99815.872032250452</v>
      </c>
      <c r="AP23">
        <f t="shared" si="7"/>
        <v>2000</v>
      </c>
      <c r="AQ23" s="17">
        <f t="shared" si="8"/>
        <v>5829.9070000000002</v>
      </c>
      <c r="AR23" s="17">
        <f t="shared" si="16"/>
        <v>7255.6390000000001</v>
      </c>
      <c r="AS23" s="17">
        <f t="shared" si="27"/>
        <v>-1425.732</v>
      </c>
      <c r="AT23" s="1">
        <f t="shared" si="28"/>
        <v>2032711.7358239999</v>
      </c>
      <c r="AV23">
        <f t="shared" si="9"/>
        <v>2000</v>
      </c>
      <c r="AW23" s="17">
        <f t="shared" si="10"/>
        <v>5829.9070000000002</v>
      </c>
      <c r="AX23" s="17">
        <f t="shared" si="20"/>
        <v>6251.5965999999999</v>
      </c>
      <c r="AY23" s="17">
        <f t="shared" si="29"/>
        <v>-421.6895999999997</v>
      </c>
      <c r="AZ23" s="1">
        <f t="shared" si="30"/>
        <v>177822.11874815976</v>
      </c>
      <c r="BB23">
        <f t="shared" si="11"/>
        <v>2000</v>
      </c>
      <c r="BC23" s="17">
        <f t="shared" si="12"/>
        <v>5829.9070000000002</v>
      </c>
      <c r="BD23" s="17">
        <f t="shared" si="31"/>
        <v>6843.2835714285711</v>
      </c>
      <c r="BE23" s="17">
        <f t="shared" si="32"/>
        <v>-1013.376571428571</v>
      </c>
      <c r="BF23" s="1">
        <f t="shared" si="33"/>
        <v>1026932.0755203256</v>
      </c>
    </row>
    <row r="24" spans="3:75" ht="13.5" thickBot="1" x14ac:dyDescent="0.25">
      <c r="C24">
        <v>24</v>
      </c>
      <c r="D24" s="2">
        <v>7522047</v>
      </c>
      <c r="E24">
        <v>2001</v>
      </c>
      <c r="F24" s="1">
        <f t="shared" si="0"/>
        <v>7.5220469999999997</v>
      </c>
      <c r="H24" s="29"/>
      <c r="I24" s="36"/>
      <c r="J24" s="36"/>
      <c r="K24" s="36"/>
      <c r="L24" s="36"/>
      <c r="M24" s="36"/>
      <c r="N24" s="36"/>
      <c r="O24" s="30"/>
      <c r="R24">
        <f t="shared" si="1"/>
        <v>2001</v>
      </c>
      <c r="S24" s="17">
        <f t="shared" si="2"/>
        <v>7522.0469999999996</v>
      </c>
      <c r="T24" s="17">
        <f t="shared" si="21"/>
        <v>6372.8481428571422</v>
      </c>
      <c r="U24" s="17">
        <f t="shared" si="22"/>
        <v>6427.8477142857146</v>
      </c>
      <c r="V24" s="17">
        <f t="shared" si="23"/>
        <v>-1094.199285714285</v>
      </c>
      <c r="W24" s="17">
        <f t="shared" si="24"/>
        <v>1197272.0768576516</v>
      </c>
      <c r="Z24">
        <f t="shared" si="3"/>
        <v>2001</v>
      </c>
      <c r="AA24" s="17">
        <f t="shared" si="4"/>
        <v>7522.0469999999996</v>
      </c>
      <c r="AB24" s="17">
        <f t="shared" si="17"/>
        <v>7023.7741999999998</v>
      </c>
      <c r="AC24" s="17">
        <f t="shared" si="18"/>
        <v>6082.6562000000004</v>
      </c>
      <c r="AD24" s="17">
        <f t="shared" si="19"/>
        <v>-1439.3907999999992</v>
      </c>
      <c r="AE24" s="17">
        <f t="shared" si="25"/>
        <v>2071845.8751246377</v>
      </c>
      <c r="AH24">
        <f t="shared" si="5"/>
        <v>2001</v>
      </c>
      <c r="AI24" s="17">
        <f t="shared" si="6"/>
        <v>7522.0469999999996</v>
      </c>
      <c r="AJ24" s="17">
        <f t="shared" si="13"/>
        <v>6673.4645</v>
      </c>
      <c r="AK24" s="17">
        <f t="shared" si="14"/>
        <v>6899.2060000000001</v>
      </c>
      <c r="AL24" s="17">
        <f t="shared" si="15"/>
        <v>-622.84099999999944</v>
      </c>
      <c r="AM24" s="17">
        <f t="shared" si="26"/>
        <v>387930.91128099931</v>
      </c>
      <c r="AP24">
        <f t="shared" si="7"/>
        <v>2001</v>
      </c>
      <c r="AQ24" s="17">
        <f t="shared" si="8"/>
        <v>7522.0469999999996</v>
      </c>
      <c r="AR24" s="17">
        <f t="shared" si="16"/>
        <v>6390.6036666666669</v>
      </c>
      <c r="AS24" s="17">
        <f t="shared" si="27"/>
        <v>1131.4433333333327</v>
      </c>
      <c r="AT24" s="1">
        <f t="shared" si="28"/>
        <v>1280164.0165444431</v>
      </c>
      <c r="AV24">
        <f t="shared" si="9"/>
        <v>2001</v>
      </c>
      <c r="AW24" s="17">
        <f t="shared" si="10"/>
        <v>7522.0469999999996</v>
      </c>
      <c r="AX24" s="17">
        <f t="shared" si="20"/>
        <v>6082.6562000000004</v>
      </c>
      <c r="AY24" s="17">
        <f t="shared" si="29"/>
        <v>1439.3907999999992</v>
      </c>
      <c r="AZ24" s="1">
        <f t="shared" si="30"/>
        <v>2071845.8751246377</v>
      </c>
      <c r="BB24">
        <f t="shared" si="11"/>
        <v>2001</v>
      </c>
      <c r="BC24" s="17">
        <f t="shared" si="12"/>
        <v>7522.0469999999996</v>
      </c>
      <c r="BD24" s="17">
        <f t="shared" si="31"/>
        <v>6427.8477142857146</v>
      </c>
      <c r="BE24" s="17">
        <f t="shared" si="32"/>
        <v>1094.199285714285</v>
      </c>
      <c r="BF24" s="1">
        <f t="shared" si="33"/>
        <v>1197272.0768576516</v>
      </c>
    </row>
    <row r="25" spans="3:75" x14ac:dyDescent="0.2">
      <c r="C25">
        <v>25</v>
      </c>
      <c r="D25" s="2">
        <v>6726997</v>
      </c>
      <c r="E25">
        <v>2002</v>
      </c>
      <c r="F25" s="1">
        <f t="shared" si="0"/>
        <v>6.7269969999999999</v>
      </c>
      <c r="H25" s="29"/>
      <c r="I25" s="36"/>
      <c r="J25" s="36"/>
      <c r="K25" s="36"/>
      <c r="L25" s="36"/>
      <c r="M25" s="36"/>
      <c r="N25" s="36"/>
      <c r="O25" s="30"/>
      <c r="R25">
        <f t="shared" si="1"/>
        <v>2002</v>
      </c>
      <c r="S25" s="17">
        <f t="shared" si="2"/>
        <v>6726.9970000000003</v>
      </c>
      <c r="T25" s="17">
        <f t="shared" si="21"/>
        <v>6380.3321428571435</v>
      </c>
      <c r="U25" s="17">
        <f t="shared" si="22"/>
        <v>6372.8481428571422</v>
      </c>
      <c r="V25" s="17">
        <f t="shared" si="23"/>
        <v>-354.14885714285811</v>
      </c>
      <c r="W25" s="17">
        <f t="shared" si="24"/>
        <v>125421.41301559252</v>
      </c>
      <c r="Z25">
        <f t="shared" si="3"/>
        <v>2002</v>
      </c>
      <c r="AA25" s="17">
        <f t="shared" si="4"/>
        <v>6726.9970000000003</v>
      </c>
      <c r="AB25" s="17">
        <f t="shared" si="17"/>
        <v>6684.1710000000003</v>
      </c>
      <c r="AC25" s="17">
        <f t="shared" si="18"/>
        <v>7023.7741999999998</v>
      </c>
      <c r="AD25" s="17">
        <f t="shared" si="19"/>
        <v>296.77719999999954</v>
      </c>
      <c r="AE25" s="17">
        <f t="shared" si="25"/>
        <v>88076.70643983972</v>
      </c>
      <c r="AH25">
        <f t="shared" si="5"/>
        <v>2002</v>
      </c>
      <c r="AI25" s="17">
        <f t="shared" si="6"/>
        <v>6726.9970000000003</v>
      </c>
      <c r="AJ25" s="17">
        <f t="shared" si="13"/>
        <v>7241.6799999999994</v>
      </c>
      <c r="AK25" s="17">
        <f t="shared" si="14"/>
        <v>6673.4645</v>
      </c>
      <c r="AL25" s="17">
        <f t="shared" si="15"/>
        <v>-53.532500000000255</v>
      </c>
      <c r="AM25" s="17">
        <f t="shared" si="26"/>
        <v>2865.7285562500274</v>
      </c>
      <c r="AP25">
        <f t="shared" si="7"/>
        <v>2002</v>
      </c>
      <c r="AQ25" s="17">
        <f t="shared" si="8"/>
        <v>6726.9970000000003</v>
      </c>
      <c r="AR25" s="17">
        <f t="shared" si="16"/>
        <v>7413.2409999999991</v>
      </c>
      <c r="AS25" s="17">
        <f t="shared" si="27"/>
        <v>-686.24399999999878</v>
      </c>
      <c r="AT25" s="1">
        <f t="shared" si="28"/>
        <v>470930.82753599831</v>
      </c>
      <c r="AV25">
        <f t="shared" si="9"/>
        <v>2002</v>
      </c>
      <c r="AW25" s="17">
        <f t="shared" si="10"/>
        <v>6726.9970000000003</v>
      </c>
      <c r="AX25" s="17">
        <f t="shared" si="20"/>
        <v>7023.7741999999998</v>
      </c>
      <c r="AY25" s="17">
        <f t="shared" si="29"/>
        <v>-296.77719999999954</v>
      </c>
      <c r="AZ25" s="1">
        <f t="shared" si="30"/>
        <v>88076.70643983972</v>
      </c>
      <c r="BB25">
        <f t="shared" si="11"/>
        <v>2002</v>
      </c>
      <c r="BC25" s="17">
        <f t="shared" si="12"/>
        <v>6726.9970000000003</v>
      </c>
      <c r="BD25" s="17">
        <f t="shared" si="31"/>
        <v>6372.8481428571422</v>
      </c>
      <c r="BE25" s="17">
        <f t="shared" si="32"/>
        <v>354.14885714285811</v>
      </c>
      <c r="BF25" s="1">
        <f t="shared" si="33"/>
        <v>125421.41301559252</v>
      </c>
      <c r="BP25" s="34"/>
      <c r="BQ25" s="35"/>
      <c r="BR25" s="35"/>
      <c r="BS25" s="35"/>
      <c r="BT25" s="35"/>
      <c r="BU25" s="35"/>
      <c r="BV25" s="35"/>
      <c r="BW25" s="28"/>
    </row>
    <row r="26" spans="3:75" x14ac:dyDescent="0.2">
      <c r="C26">
        <v>26</v>
      </c>
      <c r="D26" s="2">
        <v>6149235</v>
      </c>
      <c r="E26">
        <v>2003</v>
      </c>
      <c r="F26" s="1">
        <f t="shared" si="0"/>
        <v>6.149235</v>
      </c>
      <c r="H26" s="29"/>
      <c r="I26" s="36"/>
      <c r="J26" s="36"/>
      <c r="K26" s="36"/>
      <c r="L26" s="36"/>
      <c r="M26" s="36"/>
      <c r="N26" s="36"/>
      <c r="O26" s="30"/>
      <c r="R26">
        <f t="shared" si="1"/>
        <v>2003</v>
      </c>
      <c r="S26" s="17">
        <f t="shared" si="2"/>
        <v>6149.2349999999997</v>
      </c>
      <c r="T26" s="17">
        <f t="shared" si="21"/>
        <v>6856.4432857142865</v>
      </c>
      <c r="U26" s="17">
        <f t="shared" si="22"/>
        <v>6380.3321428571435</v>
      </c>
      <c r="V26" s="17">
        <f t="shared" si="23"/>
        <v>231.09714285714381</v>
      </c>
      <c r="W26" s="17">
        <f t="shared" si="24"/>
        <v>53405.889436735131</v>
      </c>
      <c r="Z26">
        <f t="shared" si="3"/>
        <v>2003</v>
      </c>
      <c r="AA26" s="17">
        <f t="shared" si="4"/>
        <v>6149.2349999999997</v>
      </c>
      <c r="AB26" s="17">
        <f t="shared" si="17"/>
        <v>7023.1909999999989</v>
      </c>
      <c r="AC26" s="17">
        <f t="shared" si="18"/>
        <v>6684.1710000000003</v>
      </c>
      <c r="AD26" s="17">
        <f t="shared" si="19"/>
        <v>534.9360000000006</v>
      </c>
      <c r="AE26" s="17">
        <f t="shared" si="25"/>
        <v>286156.52409600065</v>
      </c>
      <c r="AH26">
        <f t="shared" si="5"/>
        <v>2003</v>
      </c>
      <c r="AI26" s="17">
        <f t="shared" si="6"/>
        <v>6149.2349999999997</v>
      </c>
      <c r="AJ26" s="17">
        <f t="shared" si="13"/>
        <v>6557.0465000000004</v>
      </c>
      <c r="AK26" s="17">
        <f t="shared" si="14"/>
        <v>7241.6799999999994</v>
      </c>
      <c r="AL26" s="17">
        <f t="shared" si="15"/>
        <v>1092.4449999999997</v>
      </c>
      <c r="AM26" s="17">
        <f t="shared" si="26"/>
        <v>1193436.0780249995</v>
      </c>
      <c r="AP26">
        <f t="shared" si="7"/>
        <v>2003</v>
      </c>
      <c r="AQ26" s="17">
        <f t="shared" si="8"/>
        <v>6149.2349999999997</v>
      </c>
      <c r="AR26" s="17">
        <f t="shared" si="16"/>
        <v>6692.983666666667</v>
      </c>
      <c r="AS26" s="17">
        <f t="shared" si="27"/>
        <v>-543.7486666666673</v>
      </c>
      <c r="AT26" s="1">
        <f t="shared" si="28"/>
        <v>295662.61250177847</v>
      </c>
      <c r="AV26">
        <f t="shared" si="9"/>
        <v>2003</v>
      </c>
      <c r="AW26" s="17">
        <f t="shared" si="10"/>
        <v>6149.2349999999997</v>
      </c>
      <c r="AX26" s="17">
        <f t="shared" si="20"/>
        <v>6684.1710000000003</v>
      </c>
      <c r="AY26" s="17">
        <f t="shared" si="29"/>
        <v>-534.9360000000006</v>
      </c>
      <c r="AZ26" s="1">
        <f t="shared" si="30"/>
        <v>286156.52409600065</v>
      </c>
      <c r="BB26">
        <f t="shared" si="11"/>
        <v>2003</v>
      </c>
      <c r="BC26" s="17">
        <f t="shared" si="12"/>
        <v>6149.2349999999997</v>
      </c>
      <c r="BD26" s="17">
        <f t="shared" si="31"/>
        <v>6380.3321428571435</v>
      </c>
      <c r="BE26" s="17">
        <f t="shared" si="32"/>
        <v>-231.09714285714381</v>
      </c>
      <c r="BF26" s="1">
        <f t="shared" si="33"/>
        <v>53405.889436735131</v>
      </c>
      <c r="BP26" s="29"/>
      <c r="BQ26" s="36"/>
      <c r="BR26" s="36"/>
      <c r="BS26" s="36"/>
      <c r="BT26" s="36"/>
      <c r="BU26" s="36"/>
      <c r="BV26" s="36"/>
      <c r="BW26" s="30"/>
    </row>
    <row r="27" spans="3:75" x14ac:dyDescent="0.2">
      <c r="C27">
        <v>27</v>
      </c>
      <c r="D27" s="2">
        <v>8756727</v>
      </c>
      <c r="E27">
        <v>2004</v>
      </c>
      <c r="F27" s="1">
        <f t="shared" si="0"/>
        <v>8.7567269999999997</v>
      </c>
      <c r="H27" s="29"/>
      <c r="I27" s="36"/>
      <c r="J27" s="36"/>
      <c r="K27" s="36"/>
      <c r="L27" s="36"/>
      <c r="M27" s="36"/>
      <c r="N27" s="36"/>
      <c r="O27" s="30"/>
      <c r="R27">
        <f t="shared" si="1"/>
        <v>2004</v>
      </c>
      <c r="S27" s="17">
        <f t="shared" si="2"/>
        <v>8756.7270000000008</v>
      </c>
      <c r="T27" s="17">
        <f t="shared" si="21"/>
        <v>6903.8310000000001</v>
      </c>
      <c r="U27" s="17">
        <f t="shared" si="22"/>
        <v>6856.4432857142865</v>
      </c>
      <c r="V27" s="17">
        <f t="shared" si="23"/>
        <v>-1900.2837142857143</v>
      </c>
      <c r="W27" s="17">
        <f t="shared" si="24"/>
        <v>3611078.1947795101</v>
      </c>
      <c r="Z27">
        <f t="shared" si="3"/>
        <v>2004</v>
      </c>
      <c r="AA27" s="17">
        <f t="shared" si="4"/>
        <v>8756.7270000000008</v>
      </c>
      <c r="AB27" s="17">
        <f t="shared" si="17"/>
        <v>6996.9826000000003</v>
      </c>
      <c r="AC27" s="17">
        <f t="shared" si="18"/>
        <v>7023.1909999999989</v>
      </c>
      <c r="AD27" s="17">
        <f t="shared" si="19"/>
        <v>-1733.5360000000019</v>
      </c>
      <c r="AE27" s="17">
        <f t="shared" si="25"/>
        <v>3005147.0632960065</v>
      </c>
      <c r="AH27">
        <f t="shared" si="5"/>
        <v>2004</v>
      </c>
      <c r="AI27" s="17">
        <f t="shared" si="6"/>
        <v>8756.7270000000008</v>
      </c>
      <c r="AJ27" s="17">
        <f t="shared" si="13"/>
        <v>7288.7515000000003</v>
      </c>
      <c r="AK27" s="17">
        <f t="shared" si="14"/>
        <v>6557.0465000000004</v>
      </c>
      <c r="AL27" s="17">
        <f t="shared" si="15"/>
        <v>-2199.6805000000004</v>
      </c>
      <c r="AM27" s="17">
        <f t="shared" si="26"/>
        <v>4838594.3020802513</v>
      </c>
      <c r="AP27">
        <f t="shared" si="7"/>
        <v>2004</v>
      </c>
      <c r="AQ27" s="17">
        <f t="shared" si="8"/>
        <v>8756.7270000000008</v>
      </c>
      <c r="AR27" s="17">
        <f t="shared" si="16"/>
        <v>6799.4263333333329</v>
      </c>
      <c r="AS27" s="17">
        <f t="shared" si="27"/>
        <v>1957.3006666666679</v>
      </c>
      <c r="AT27" s="1">
        <f t="shared" si="28"/>
        <v>3831025.8997337827</v>
      </c>
      <c r="AV27">
        <f t="shared" si="9"/>
        <v>2004</v>
      </c>
      <c r="AW27" s="17">
        <f t="shared" si="10"/>
        <v>8756.7270000000008</v>
      </c>
      <c r="AX27" s="17">
        <f t="shared" si="20"/>
        <v>7023.1909999999989</v>
      </c>
      <c r="AY27" s="17">
        <f t="shared" si="29"/>
        <v>1733.5360000000019</v>
      </c>
      <c r="AZ27" s="1">
        <f t="shared" si="30"/>
        <v>3005147.0632960065</v>
      </c>
      <c r="BB27">
        <f t="shared" si="11"/>
        <v>2004</v>
      </c>
      <c r="BC27" s="17">
        <f t="shared" si="12"/>
        <v>8756.7270000000008</v>
      </c>
      <c r="BD27" s="17">
        <f t="shared" si="31"/>
        <v>6856.4432857142865</v>
      </c>
      <c r="BE27" s="17">
        <f t="shared" si="32"/>
        <v>1900.2837142857143</v>
      </c>
      <c r="BF27" s="1">
        <f t="shared" si="33"/>
        <v>3611078.1947795101</v>
      </c>
      <c r="BP27" s="29"/>
      <c r="BQ27" s="36"/>
      <c r="BR27" s="36"/>
      <c r="BS27" s="36"/>
      <c r="BT27" s="36"/>
      <c r="BU27" s="36"/>
      <c r="BV27" s="36"/>
      <c r="BW27" s="30"/>
    </row>
    <row r="28" spans="3:75" ht="13.5" thickBot="1" x14ac:dyDescent="0.25">
      <c r="C28">
        <v>28</v>
      </c>
      <c r="D28" s="2">
        <v>7035165</v>
      </c>
      <c r="E28">
        <v>2005</v>
      </c>
      <c r="F28" s="1">
        <f t="shared" si="0"/>
        <v>7.0351650000000001</v>
      </c>
      <c r="H28" s="37"/>
      <c r="I28" s="38"/>
      <c r="J28" s="38"/>
      <c r="K28" s="38"/>
      <c r="L28" s="38"/>
      <c r="M28" s="38"/>
      <c r="N28" s="38"/>
      <c r="O28" s="33"/>
      <c r="R28">
        <f t="shared" si="1"/>
        <v>2005</v>
      </c>
      <c r="S28" s="17">
        <f t="shared" si="2"/>
        <v>7035.165</v>
      </c>
      <c r="T28" s="17">
        <f t="shared" si="21"/>
        <v>7272.5495714285707</v>
      </c>
      <c r="U28" s="17">
        <f t="shared" si="22"/>
        <v>6903.8310000000001</v>
      </c>
      <c r="V28" s="17">
        <f t="shared" si="23"/>
        <v>-131.33399999999983</v>
      </c>
      <c r="W28" s="17">
        <f t="shared" si="24"/>
        <v>17248.619555999958</v>
      </c>
      <c r="Z28">
        <f t="shared" si="3"/>
        <v>2005</v>
      </c>
      <c r="AA28" s="17">
        <f t="shared" si="4"/>
        <v>7035.165</v>
      </c>
      <c r="AB28" s="17">
        <f t="shared" si="17"/>
        <v>7238.0342000000001</v>
      </c>
      <c r="AC28" s="17">
        <f t="shared" si="18"/>
        <v>6996.9826000000003</v>
      </c>
      <c r="AD28" s="17">
        <f t="shared" si="19"/>
        <v>-38.182399999999689</v>
      </c>
      <c r="AE28" s="17">
        <f t="shared" si="25"/>
        <v>1457.8956697599763</v>
      </c>
      <c r="AH28">
        <f t="shared" si="5"/>
        <v>2005</v>
      </c>
      <c r="AI28" s="17">
        <f t="shared" si="6"/>
        <v>7035.165</v>
      </c>
      <c r="AJ28" s="17">
        <f t="shared" si="13"/>
        <v>7167.0310000000009</v>
      </c>
      <c r="AK28" s="17">
        <f t="shared" si="14"/>
        <v>7288.7515000000003</v>
      </c>
      <c r="AL28" s="17">
        <f t="shared" si="15"/>
        <v>253.58650000000034</v>
      </c>
      <c r="AM28" s="17">
        <f t="shared" si="26"/>
        <v>64306.112982250175</v>
      </c>
      <c r="AP28">
        <f t="shared" si="7"/>
        <v>2005</v>
      </c>
      <c r="AQ28" s="17">
        <f t="shared" si="8"/>
        <v>7035.165</v>
      </c>
      <c r="AR28" s="17">
        <f t="shared" si="16"/>
        <v>7210.9863333333342</v>
      </c>
      <c r="AS28" s="17">
        <f t="shared" si="27"/>
        <v>-175.82133333333422</v>
      </c>
      <c r="AT28" s="1">
        <f t="shared" si="28"/>
        <v>30913.141255111423</v>
      </c>
      <c r="AV28">
        <f t="shared" si="9"/>
        <v>2005</v>
      </c>
      <c r="AW28" s="17">
        <f t="shared" si="10"/>
        <v>7035.165</v>
      </c>
      <c r="AX28" s="17">
        <f t="shared" si="20"/>
        <v>6996.9826000000003</v>
      </c>
      <c r="AY28" s="17">
        <f t="shared" si="29"/>
        <v>38.182399999999689</v>
      </c>
      <c r="AZ28" s="1">
        <f t="shared" si="30"/>
        <v>1457.8956697599763</v>
      </c>
      <c r="BB28">
        <f t="shared" si="11"/>
        <v>2005</v>
      </c>
      <c r="BC28" s="17">
        <f t="shared" si="12"/>
        <v>7035.165</v>
      </c>
      <c r="BD28" s="17">
        <f t="shared" si="31"/>
        <v>6903.8310000000001</v>
      </c>
      <c r="BE28" s="17">
        <f t="shared" si="32"/>
        <v>131.33399999999983</v>
      </c>
      <c r="BF28" s="1">
        <f t="shared" si="33"/>
        <v>17248.619555999958</v>
      </c>
      <c r="BP28" s="29"/>
      <c r="BQ28" s="36"/>
      <c r="BR28" s="36"/>
      <c r="BS28" s="36"/>
      <c r="BT28" s="36"/>
      <c r="BU28" s="36"/>
      <c r="BV28" s="36"/>
      <c r="BW28" s="30"/>
    </row>
    <row r="29" spans="3:75" x14ac:dyDescent="0.2">
      <c r="C29">
        <v>29</v>
      </c>
      <c r="D29" s="2">
        <v>5719639</v>
      </c>
      <c r="E29">
        <v>2006</v>
      </c>
      <c r="F29" s="1">
        <f t="shared" si="0"/>
        <v>5.7196389999999999</v>
      </c>
      <c r="R29">
        <f t="shared" si="1"/>
        <v>2006</v>
      </c>
      <c r="S29" s="17">
        <f t="shared" si="2"/>
        <v>5719.6390000000001</v>
      </c>
      <c r="T29" s="17">
        <f t="shared" si="21"/>
        <v>6819.9595714285724</v>
      </c>
      <c r="U29" s="17">
        <f t="shared" si="22"/>
        <v>7272.5495714285707</v>
      </c>
      <c r="V29" s="17">
        <f t="shared" si="23"/>
        <v>1552.9105714285706</v>
      </c>
      <c r="W29" s="17">
        <f t="shared" si="24"/>
        <v>2411531.2428546096</v>
      </c>
      <c r="Z29">
        <f t="shared" si="3"/>
        <v>2006</v>
      </c>
      <c r="AA29" s="17">
        <f t="shared" si="4"/>
        <v>5719.6390000000001</v>
      </c>
      <c r="AB29" s="17">
        <f t="shared" si="17"/>
        <v>6877.5526000000009</v>
      </c>
      <c r="AC29" s="17">
        <f t="shared" si="18"/>
        <v>7238.0342000000001</v>
      </c>
      <c r="AD29" s="17">
        <f t="shared" si="19"/>
        <v>1518.3951999999999</v>
      </c>
      <c r="AE29" s="17">
        <f t="shared" si="25"/>
        <v>2305523.9833830399</v>
      </c>
      <c r="AH29">
        <f t="shared" si="5"/>
        <v>2006</v>
      </c>
      <c r="AI29" s="17">
        <f t="shared" si="6"/>
        <v>5719.6390000000001</v>
      </c>
      <c r="AJ29" s="17">
        <f t="shared" si="13"/>
        <v>6915.1914999999999</v>
      </c>
      <c r="AK29" s="17">
        <f t="shared" si="14"/>
        <v>7167.0310000000009</v>
      </c>
      <c r="AL29" s="17">
        <f t="shared" si="15"/>
        <v>1447.3920000000007</v>
      </c>
      <c r="AM29" s="17">
        <f t="shared" si="26"/>
        <v>2094943.6016640021</v>
      </c>
      <c r="AP29">
        <f t="shared" si="7"/>
        <v>2006</v>
      </c>
      <c r="AQ29" s="17">
        <f t="shared" si="8"/>
        <v>5719.6390000000001</v>
      </c>
      <c r="AR29" s="17">
        <f t="shared" si="16"/>
        <v>7313.7089999999998</v>
      </c>
      <c r="AS29" s="17">
        <f t="shared" si="27"/>
        <v>-1594.0699999999997</v>
      </c>
      <c r="AT29" s="1">
        <f t="shared" si="28"/>
        <v>2541059.1648999993</v>
      </c>
      <c r="AV29">
        <f t="shared" si="9"/>
        <v>2006</v>
      </c>
      <c r="AW29" s="17">
        <f t="shared" si="10"/>
        <v>5719.6390000000001</v>
      </c>
      <c r="AX29" s="17">
        <f t="shared" si="20"/>
        <v>7238.0342000000001</v>
      </c>
      <c r="AY29" s="17">
        <f t="shared" si="29"/>
        <v>-1518.3951999999999</v>
      </c>
      <c r="AZ29" s="1">
        <f t="shared" si="30"/>
        <v>2305523.9833830399</v>
      </c>
      <c r="BB29">
        <f t="shared" si="11"/>
        <v>2006</v>
      </c>
      <c r="BC29" s="17">
        <f t="shared" si="12"/>
        <v>5719.6390000000001</v>
      </c>
      <c r="BD29" s="17">
        <f t="shared" si="31"/>
        <v>7272.5495714285707</v>
      </c>
      <c r="BE29" s="17">
        <f t="shared" si="32"/>
        <v>-1552.9105714285706</v>
      </c>
      <c r="BF29" s="1">
        <f t="shared" si="33"/>
        <v>2411531.2428546096</v>
      </c>
      <c r="BP29" s="29"/>
      <c r="BQ29" s="36"/>
      <c r="BR29" s="36"/>
      <c r="BS29" s="36"/>
      <c r="BT29" s="36"/>
      <c r="BU29" s="36"/>
      <c r="BV29" s="36"/>
      <c r="BW29" s="30"/>
    </row>
    <row r="30" spans="3:75" x14ac:dyDescent="0.2">
      <c r="C30">
        <v>30</v>
      </c>
      <c r="D30" s="2">
        <v>3355066</v>
      </c>
      <c r="E30">
        <v>2007</v>
      </c>
      <c r="F30" s="1">
        <f t="shared" si="0"/>
        <v>3.3550659999999999</v>
      </c>
      <c r="R30">
        <f t="shared" si="1"/>
        <v>2007</v>
      </c>
      <c r="S30" s="17">
        <f t="shared" si="2"/>
        <v>3355.0659999999998</v>
      </c>
      <c r="T30" s="17">
        <f t="shared" si="21"/>
        <v>6466.4108571428578</v>
      </c>
      <c r="U30" s="17">
        <f t="shared" si="22"/>
        <v>6819.9595714285724</v>
      </c>
      <c r="V30" s="17">
        <f t="shared" si="23"/>
        <v>3464.8935714285726</v>
      </c>
      <c r="W30" s="17">
        <f t="shared" si="24"/>
        <v>12005487.46132705</v>
      </c>
      <c r="Z30">
        <f t="shared" si="3"/>
        <v>2007</v>
      </c>
      <c r="AA30" s="17">
        <f t="shared" si="4"/>
        <v>3355.0659999999998</v>
      </c>
      <c r="AB30" s="17">
        <f t="shared" si="17"/>
        <v>6203.1664000000001</v>
      </c>
      <c r="AC30" s="17">
        <f t="shared" si="18"/>
        <v>6877.5526000000009</v>
      </c>
      <c r="AD30" s="17">
        <f t="shared" si="19"/>
        <v>3522.4866000000011</v>
      </c>
      <c r="AE30" s="17">
        <f t="shared" si="25"/>
        <v>12407911.847179567</v>
      </c>
      <c r="AH30">
        <f t="shared" si="5"/>
        <v>2007</v>
      </c>
      <c r="AI30" s="17">
        <f t="shared" si="6"/>
        <v>3355.0659999999998</v>
      </c>
      <c r="AJ30" s="17">
        <f t="shared" si="13"/>
        <v>6216.6492499999995</v>
      </c>
      <c r="AK30" s="17">
        <f t="shared" si="14"/>
        <v>6915.1914999999999</v>
      </c>
      <c r="AL30" s="17">
        <f t="shared" si="15"/>
        <v>3560.1255000000001</v>
      </c>
      <c r="AM30" s="17">
        <f t="shared" si="26"/>
        <v>12674493.57575025</v>
      </c>
      <c r="AP30">
        <f t="shared" si="7"/>
        <v>2007</v>
      </c>
      <c r="AQ30" s="17">
        <f t="shared" si="8"/>
        <v>3355.0659999999998</v>
      </c>
      <c r="AR30" s="17">
        <f t="shared" si="16"/>
        <v>7170.5103333333327</v>
      </c>
      <c r="AS30" s="17">
        <f t="shared" si="27"/>
        <v>-3815.4443333333329</v>
      </c>
      <c r="AT30" s="1">
        <f t="shared" si="28"/>
        <v>14557615.460765442</v>
      </c>
      <c r="AV30">
        <f t="shared" si="9"/>
        <v>2007</v>
      </c>
      <c r="AW30" s="17">
        <f t="shared" si="10"/>
        <v>3355.0659999999998</v>
      </c>
      <c r="AX30" s="17">
        <f t="shared" si="20"/>
        <v>6877.5526000000009</v>
      </c>
      <c r="AY30" s="17">
        <f t="shared" si="29"/>
        <v>-3522.4866000000011</v>
      </c>
      <c r="AZ30" s="1">
        <f t="shared" si="30"/>
        <v>12407911.847179567</v>
      </c>
      <c r="BB30">
        <f t="shared" si="11"/>
        <v>2007</v>
      </c>
      <c r="BC30" s="17">
        <f t="shared" si="12"/>
        <v>3355.0659999999998</v>
      </c>
      <c r="BD30" s="17">
        <f t="shared" si="31"/>
        <v>6819.9595714285724</v>
      </c>
      <c r="BE30" s="17">
        <f t="shared" si="32"/>
        <v>-3464.8935714285726</v>
      </c>
      <c r="BF30" s="1">
        <f t="shared" si="33"/>
        <v>12005487.46132705</v>
      </c>
      <c r="BP30" s="29"/>
      <c r="BQ30" s="36"/>
      <c r="BR30" s="36"/>
      <c r="BS30" s="36"/>
      <c r="BT30" s="36"/>
      <c r="BU30" s="36"/>
      <c r="BV30" s="36"/>
      <c r="BW30" s="30"/>
    </row>
    <row r="31" spans="3:75" x14ac:dyDescent="0.2">
      <c r="C31">
        <v>31</v>
      </c>
      <c r="D31" s="2">
        <v>4476920</v>
      </c>
      <c r="E31">
        <v>2008</v>
      </c>
      <c r="F31" s="1">
        <f t="shared" si="0"/>
        <v>4.4769199999999998</v>
      </c>
      <c r="R31">
        <f t="shared" si="1"/>
        <v>2008</v>
      </c>
      <c r="S31" s="17">
        <f t="shared" si="2"/>
        <v>4476.92</v>
      </c>
      <c r="T31" s="17">
        <f t="shared" si="21"/>
        <v>6031.3927142857146</v>
      </c>
      <c r="U31" s="17">
        <f t="shared" si="22"/>
        <v>6466.4108571428578</v>
      </c>
      <c r="V31" s="17">
        <f t="shared" si="23"/>
        <v>1989.4908571428577</v>
      </c>
      <c r="W31" s="17">
        <f t="shared" si="24"/>
        <v>3958073.870655023</v>
      </c>
      <c r="Z31">
        <f t="shared" si="3"/>
        <v>2008</v>
      </c>
      <c r="AA31" s="17">
        <f t="shared" si="4"/>
        <v>4476.92</v>
      </c>
      <c r="AB31" s="17">
        <f t="shared" si="17"/>
        <v>5868.7034000000003</v>
      </c>
      <c r="AC31" s="17">
        <f t="shared" si="18"/>
        <v>6203.1664000000001</v>
      </c>
      <c r="AD31" s="17">
        <f t="shared" si="19"/>
        <v>1726.2464</v>
      </c>
      <c r="AE31" s="17">
        <f t="shared" si="25"/>
        <v>2979926.6335129598</v>
      </c>
      <c r="AH31">
        <f t="shared" si="5"/>
        <v>2008</v>
      </c>
      <c r="AI31" s="17">
        <f t="shared" si="6"/>
        <v>4476.92</v>
      </c>
      <c r="AJ31" s="17">
        <f t="shared" si="13"/>
        <v>5146.6975000000002</v>
      </c>
      <c r="AK31" s="17">
        <f t="shared" si="14"/>
        <v>6216.6492499999995</v>
      </c>
      <c r="AL31" s="17">
        <f t="shared" si="15"/>
        <v>1739.7292499999994</v>
      </c>
      <c r="AM31" s="17">
        <f t="shared" si="26"/>
        <v>3026657.8633055603</v>
      </c>
      <c r="AP31">
        <f t="shared" si="7"/>
        <v>2008</v>
      </c>
      <c r="AQ31" s="17">
        <f t="shared" si="8"/>
        <v>4476.92</v>
      </c>
      <c r="AR31" s="17">
        <f t="shared" si="16"/>
        <v>5369.956666666666</v>
      </c>
      <c r="AS31" s="17">
        <f t="shared" si="27"/>
        <v>-893.03666666666595</v>
      </c>
      <c r="AT31" s="1">
        <f t="shared" si="28"/>
        <v>797514.48801110988</v>
      </c>
      <c r="AV31">
        <f t="shared" si="9"/>
        <v>2008</v>
      </c>
      <c r="AW31" s="17">
        <f t="shared" si="10"/>
        <v>4476.92</v>
      </c>
      <c r="AX31" s="17">
        <f t="shared" si="20"/>
        <v>6203.1664000000001</v>
      </c>
      <c r="AY31" s="17">
        <f t="shared" si="29"/>
        <v>-1726.2464</v>
      </c>
      <c r="AZ31" s="1">
        <f t="shared" si="30"/>
        <v>2979926.6335129598</v>
      </c>
      <c r="BB31">
        <f t="shared" si="11"/>
        <v>2008</v>
      </c>
      <c r="BC31" s="17">
        <f t="shared" si="12"/>
        <v>4476.92</v>
      </c>
      <c r="BD31" s="17">
        <f t="shared" si="31"/>
        <v>6466.4108571428578</v>
      </c>
      <c r="BE31" s="17">
        <f t="shared" si="32"/>
        <v>-1989.4908571428577</v>
      </c>
      <c r="BF31" s="1">
        <f t="shared" si="33"/>
        <v>3958073.870655023</v>
      </c>
      <c r="BP31" s="29"/>
      <c r="BQ31" s="36"/>
      <c r="BR31" s="36"/>
      <c r="BS31" s="36"/>
      <c r="BT31" s="36"/>
      <c r="BU31" s="36"/>
      <c r="BV31" s="36"/>
      <c r="BW31" s="30"/>
    </row>
    <row r="32" spans="3:75" x14ac:dyDescent="0.2">
      <c r="C32">
        <v>32</v>
      </c>
      <c r="D32" s="2">
        <v>4182284</v>
      </c>
      <c r="E32">
        <v>2009</v>
      </c>
      <c r="F32" s="1">
        <f t="shared" si="0"/>
        <v>4.1822840000000001</v>
      </c>
      <c r="R32">
        <f t="shared" si="1"/>
        <v>2009</v>
      </c>
      <c r="S32" s="17">
        <f t="shared" si="2"/>
        <v>4182.2839999999997</v>
      </c>
      <c r="T32" s="17">
        <f t="shared" si="21"/>
        <v>5667.8622857142855</v>
      </c>
      <c r="U32" s="17">
        <f t="shared" si="22"/>
        <v>6031.3927142857146</v>
      </c>
      <c r="V32" s="17">
        <f t="shared" si="23"/>
        <v>1849.108714285715</v>
      </c>
      <c r="W32" s="17">
        <f t="shared" si="24"/>
        <v>3419203.03724737</v>
      </c>
      <c r="Z32">
        <f t="shared" si="3"/>
        <v>2009</v>
      </c>
      <c r="AA32" s="17">
        <f t="shared" si="4"/>
        <v>4182.2839999999997</v>
      </c>
      <c r="AB32" s="17">
        <f t="shared" si="17"/>
        <v>4953.8148000000001</v>
      </c>
      <c r="AC32" s="17">
        <f t="shared" si="18"/>
        <v>5868.7034000000003</v>
      </c>
      <c r="AD32" s="17">
        <f t="shared" si="19"/>
        <v>1686.4194000000007</v>
      </c>
      <c r="AE32" s="17">
        <f t="shared" si="25"/>
        <v>2844010.3926963625</v>
      </c>
      <c r="AH32">
        <f t="shared" si="5"/>
        <v>2009</v>
      </c>
      <c r="AI32" s="17">
        <f t="shared" si="6"/>
        <v>4182.2839999999997</v>
      </c>
      <c r="AJ32" s="17">
        <f t="shared" si="13"/>
        <v>4433.4772499999999</v>
      </c>
      <c r="AK32" s="17">
        <f t="shared" si="14"/>
        <v>5146.6975000000002</v>
      </c>
      <c r="AL32" s="17">
        <f t="shared" si="15"/>
        <v>964.41350000000057</v>
      </c>
      <c r="AM32" s="17">
        <f t="shared" si="26"/>
        <v>930093.39898225106</v>
      </c>
      <c r="AP32">
        <f t="shared" si="7"/>
        <v>2009</v>
      </c>
      <c r="AQ32" s="17">
        <f t="shared" si="8"/>
        <v>4182.2839999999997</v>
      </c>
      <c r="AR32" s="17">
        <f t="shared" si="16"/>
        <v>4517.208333333333</v>
      </c>
      <c r="AS32" s="17">
        <f t="shared" si="27"/>
        <v>-334.92433333333338</v>
      </c>
      <c r="AT32" s="1">
        <f t="shared" si="28"/>
        <v>112174.30905877781</v>
      </c>
      <c r="AV32">
        <f t="shared" si="9"/>
        <v>2009</v>
      </c>
      <c r="AW32" s="17">
        <f t="shared" si="10"/>
        <v>4182.2839999999997</v>
      </c>
      <c r="AX32" s="17">
        <f t="shared" si="20"/>
        <v>5868.7034000000003</v>
      </c>
      <c r="AY32" s="17">
        <f t="shared" si="29"/>
        <v>-1686.4194000000007</v>
      </c>
      <c r="AZ32" s="1">
        <f t="shared" si="30"/>
        <v>2844010.3926963625</v>
      </c>
      <c r="BB32">
        <f t="shared" si="11"/>
        <v>2009</v>
      </c>
      <c r="BC32" s="17">
        <f t="shared" si="12"/>
        <v>4182.2839999999997</v>
      </c>
      <c r="BD32" s="17">
        <f t="shared" si="31"/>
        <v>6031.3927142857146</v>
      </c>
      <c r="BE32" s="17">
        <f t="shared" si="32"/>
        <v>-1849.108714285715</v>
      </c>
      <c r="BF32" s="1">
        <f t="shared" si="33"/>
        <v>3419203.03724737</v>
      </c>
      <c r="BP32" s="29"/>
      <c r="BQ32" s="36"/>
      <c r="BR32" s="36"/>
      <c r="BS32" s="36"/>
      <c r="BT32" s="36"/>
      <c r="BU32" s="36"/>
      <c r="BV32" s="36"/>
      <c r="BW32" s="30"/>
    </row>
    <row r="33" spans="3:75" x14ac:dyDescent="0.2">
      <c r="C33">
        <v>33</v>
      </c>
      <c r="D33" s="2">
        <v>4397214</v>
      </c>
      <c r="E33">
        <v>2010</v>
      </c>
      <c r="F33" s="1">
        <f t="shared" si="0"/>
        <v>4.397214</v>
      </c>
      <c r="R33">
        <f t="shared" si="1"/>
        <v>2010</v>
      </c>
      <c r="S33" s="17">
        <f t="shared" si="2"/>
        <v>4397.2139999999999</v>
      </c>
      <c r="T33" s="17">
        <f t="shared" si="21"/>
        <v>5417.5735714285711</v>
      </c>
      <c r="U33" s="17">
        <f t="shared" si="22"/>
        <v>5667.8622857142855</v>
      </c>
      <c r="V33" s="17">
        <f t="shared" si="23"/>
        <v>1270.6482857142855</v>
      </c>
      <c r="W33" s="17">
        <f t="shared" si="24"/>
        <v>1614547.0659886526</v>
      </c>
      <c r="Z33">
        <f t="shared" si="3"/>
        <v>2010</v>
      </c>
      <c r="AA33" s="17">
        <f t="shared" si="4"/>
        <v>4397.2139999999999</v>
      </c>
      <c r="AB33" s="17">
        <f t="shared" si="17"/>
        <v>4426.2245999999996</v>
      </c>
      <c r="AC33" s="17">
        <f t="shared" si="18"/>
        <v>4953.8148000000001</v>
      </c>
      <c r="AD33" s="17">
        <f t="shared" si="19"/>
        <v>556.60080000000016</v>
      </c>
      <c r="AE33" s="17">
        <f t="shared" si="25"/>
        <v>309804.45056064019</v>
      </c>
      <c r="AH33">
        <f t="shared" si="5"/>
        <v>2010</v>
      </c>
      <c r="AI33" s="17">
        <f t="shared" si="6"/>
        <v>4397.2139999999999</v>
      </c>
      <c r="AJ33" s="17">
        <f t="shared" si="13"/>
        <v>4102.8710000000001</v>
      </c>
      <c r="AK33" s="17">
        <f t="shared" si="14"/>
        <v>4433.4772499999999</v>
      </c>
      <c r="AL33" s="17">
        <f t="shared" si="15"/>
        <v>36.263249999999971</v>
      </c>
      <c r="AM33" s="17">
        <f t="shared" si="26"/>
        <v>1315.023300562498</v>
      </c>
      <c r="AP33">
        <f t="shared" si="7"/>
        <v>2010</v>
      </c>
      <c r="AQ33" s="17">
        <f t="shared" si="8"/>
        <v>4397.2139999999999</v>
      </c>
      <c r="AR33" s="17">
        <f t="shared" si="16"/>
        <v>4004.7566666666667</v>
      </c>
      <c r="AS33" s="17">
        <f t="shared" si="27"/>
        <v>392.45733333333328</v>
      </c>
      <c r="AT33" s="1">
        <f t="shared" si="28"/>
        <v>154022.75848711107</v>
      </c>
      <c r="AV33">
        <f t="shared" si="9"/>
        <v>2010</v>
      </c>
      <c r="AW33" s="17">
        <f t="shared" si="10"/>
        <v>4397.2139999999999</v>
      </c>
      <c r="AX33" s="17">
        <f t="shared" si="20"/>
        <v>4953.8148000000001</v>
      </c>
      <c r="AY33" s="17">
        <f t="shared" si="29"/>
        <v>-556.60080000000016</v>
      </c>
      <c r="AZ33" s="1">
        <f t="shared" si="30"/>
        <v>309804.45056064019</v>
      </c>
      <c r="BB33">
        <f t="shared" si="11"/>
        <v>2010</v>
      </c>
      <c r="BC33" s="17">
        <f t="shared" si="12"/>
        <v>4397.2139999999999</v>
      </c>
      <c r="BD33" s="17">
        <f t="shared" si="31"/>
        <v>5667.8622857142855</v>
      </c>
      <c r="BE33" s="17">
        <f t="shared" si="32"/>
        <v>-1270.6482857142855</v>
      </c>
      <c r="BF33" s="1">
        <f t="shared" si="33"/>
        <v>1614547.0659886526</v>
      </c>
      <c r="BP33" s="29"/>
      <c r="BQ33" s="36"/>
      <c r="BR33" s="36"/>
      <c r="BS33" s="36"/>
      <c r="BT33" s="36"/>
      <c r="BU33" s="36"/>
      <c r="BV33" s="36"/>
      <c r="BW33" s="30"/>
    </row>
    <row r="34" spans="3:75" x14ac:dyDescent="0.2">
      <c r="C34">
        <v>34</v>
      </c>
      <c r="D34" s="2">
        <v>3431073</v>
      </c>
      <c r="E34">
        <v>2011</v>
      </c>
      <c r="F34" s="1">
        <f t="shared" si="0"/>
        <v>3.431073</v>
      </c>
      <c r="R34">
        <f t="shared" si="1"/>
        <v>2011</v>
      </c>
      <c r="S34" s="17">
        <f t="shared" si="2"/>
        <v>3431.0729999999999</v>
      </c>
      <c r="T34" s="17">
        <f t="shared" si="21"/>
        <v>4656.7658571428574</v>
      </c>
      <c r="U34" s="17">
        <f t="shared" si="22"/>
        <v>5417.5735714285711</v>
      </c>
      <c r="V34" s="17">
        <f t="shared" si="23"/>
        <v>1986.5005714285712</v>
      </c>
      <c r="W34" s="17">
        <f t="shared" si="24"/>
        <v>3946184.5202860399</v>
      </c>
      <c r="Z34">
        <f t="shared" si="3"/>
        <v>2011</v>
      </c>
      <c r="AA34" s="17">
        <f t="shared" si="4"/>
        <v>3431.0729999999999</v>
      </c>
      <c r="AB34" s="17">
        <f t="shared" si="17"/>
        <v>3968.5114000000003</v>
      </c>
      <c r="AC34" s="17">
        <f t="shared" si="18"/>
        <v>4426.2245999999996</v>
      </c>
      <c r="AD34" s="17">
        <f t="shared" si="19"/>
        <v>995.15159999999969</v>
      </c>
      <c r="AE34" s="17">
        <f t="shared" si="25"/>
        <v>990326.70698255941</v>
      </c>
      <c r="AH34">
        <f t="shared" si="5"/>
        <v>2011</v>
      </c>
      <c r="AI34" s="17">
        <f t="shared" si="6"/>
        <v>3431.0729999999999</v>
      </c>
      <c r="AJ34" s="17">
        <f t="shared" si="13"/>
        <v>4121.8727499999995</v>
      </c>
      <c r="AK34" s="17">
        <f t="shared" si="14"/>
        <v>4102.8710000000001</v>
      </c>
      <c r="AL34" s="17">
        <f t="shared" si="15"/>
        <v>671.79800000000023</v>
      </c>
      <c r="AM34" s="17">
        <f t="shared" si="26"/>
        <v>451312.55280400033</v>
      </c>
      <c r="AP34">
        <f t="shared" si="7"/>
        <v>2011</v>
      </c>
      <c r="AQ34" s="17">
        <f t="shared" si="8"/>
        <v>3431.0729999999999</v>
      </c>
      <c r="AR34" s="17">
        <f t="shared" si="16"/>
        <v>4352.1393333333335</v>
      </c>
      <c r="AS34" s="17">
        <f t="shared" si="27"/>
        <v>-921.06633333333366</v>
      </c>
      <c r="AT34" s="1">
        <f t="shared" si="28"/>
        <v>848363.19040011172</v>
      </c>
      <c r="AV34">
        <f t="shared" si="9"/>
        <v>2011</v>
      </c>
      <c r="AW34" s="17">
        <f t="shared" si="10"/>
        <v>3431.0729999999999</v>
      </c>
      <c r="AX34" s="17">
        <f t="shared" si="20"/>
        <v>4426.2245999999996</v>
      </c>
      <c r="AY34" s="17">
        <f t="shared" si="29"/>
        <v>-995.15159999999969</v>
      </c>
      <c r="AZ34" s="1">
        <f t="shared" si="30"/>
        <v>990326.70698255941</v>
      </c>
      <c r="BB34">
        <f t="shared" si="11"/>
        <v>2011</v>
      </c>
      <c r="BC34" s="17">
        <f t="shared" si="12"/>
        <v>3431.0729999999999</v>
      </c>
      <c r="BD34" s="17">
        <f t="shared" si="31"/>
        <v>5417.5735714285711</v>
      </c>
      <c r="BE34" s="17">
        <f t="shared" si="32"/>
        <v>-1986.5005714285712</v>
      </c>
      <c r="BF34" s="1">
        <f t="shared" si="33"/>
        <v>3946184.5202860399</v>
      </c>
      <c r="BP34" s="29"/>
      <c r="BQ34" s="36"/>
      <c r="BR34" s="36"/>
      <c r="BS34" s="36"/>
      <c r="BT34" s="36"/>
      <c r="BU34" s="36"/>
      <c r="BV34" s="36"/>
      <c r="BW34" s="30"/>
    </row>
    <row r="35" spans="3:75" x14ac:dyDescent="0.2">
      <c r="C35">
        <v>35</v>
      </c>
      <c r="D35" s="2">
        <v>3885226</v>
      </c>
      <c r="E35">
        <v>2012</v>
      </c>
      <c r="F35" s="1">
        <f t="shared" si="0"/>
        <v>3.8852259999999998</v>
      </c>
      <c r="R35">
        <f t="shared" si="1"/>
        <v>2012</v>
      </c>
      <c r="S35" s="17">
        <f t="shared" si="2"/>
        <v>3885.2260000000001</v>
      </c>
      <c r="T35" s="17">
        <f t="shared" si="21"/>
        <v>4206.7745714285711</v>
      </c>
      <c r="U35" s="17">
        <f t="shared" si="22"/>
        <v>4656.7658571428574</v>
      </c>
      <c r="V35" s="17">
        <f t="shared" si="23"/>
        <v>771.53985714285727</v>
      </c>
      <c r="W35" s="17">
        <f t="shared" si="24"/>
        <v>595273.75116002059</v>
      </c>
      <c r="Z35">
        <f t="shared" si="3"/>
        <v>2012</v>
      </c>
      <c r="AA35" s="17">
        <f t="shared" si="4"/>
        <v>3885.2260000000001</v>
      </c>
      <c r="AB35" s="17">
        <f t="shared" si="17"/>
        <v>4074.5433999999996</v>
      </c>
      <c r="AC35" s="17">
        <f t="shared" si="18"/>
        <v>3968.5114000000003</v>
      </c>
      <c r="AD35" s="17">
        <f t="shared" si="19"/>
        <v>83.285400000000209</v>
      </c>
      <c r="AE35" s="17">
        <f t="shared" si="25"/>
        <v>6936.4578531600346</v>
      </c>
      <c r="AH35">
        <f t="shared" si="5"/>
        <v>2012</v>
      </c>
      <c r="AI35" s="17">
        <f t="shared" si="6"/>
        <v>3885.2260000000001</v>
      </c>
      <c r="AJ35" s="17">
        <f t="shared" si="13"/>
        <v>3973.9492500000001</v>
      </c>
      <c r="AK35" s="17">
        <f t="shared" si="14"/>
        <v>4121.8727499999995</v>
      </c>
      <c r="AL35" s="17">
        <f t="shared" si="15"/>
        <v>236.64674999999943</v>
      </c>
      <c r="AM35" s="17">
        <f t="shared" si="26"/>
        <v>56001.684285562231</v>
      </c>
      <c r="AP35">
        <f t="shared" si="7"/>
        <v>2012</v>
      </c>
      <c r="AQ35" s="17">
        <f t="shared" si="8"/>
        <v>3885.2260000000001</v>
      </c>
      <c r="AR35" s="17">
        <f t="shared" si="16"/>
        <v>4003.5236666666665</v>
      </c>
      <c r="AS35" s="17">
        <f t="shared" si="27"/>
        <v>-118.29766666666637</v>
      </c>
      <c r="AT35" s="1">
        <f t="shared" si="28"/>
        <v>13994.337938777708</v>
      </c>
      <c r="AV35">
        <f t="shared" si="9"/>
        <v>2012</v>
      </c>
      <c r="AW35" s="17">
        <f t="shared" si="10"/>
        <v>3885.2260000000001</v>
      </c>
      <c r="AX35" s="17">
        <f t="shared" si="20"/>
        <v>3968.5114000000003</v>
      </c>
      <c r="AY35" s="17">
        <f t="shared" si="29"/>
        <v>-83.285400000000209</v>
      </c>
      <c r="AZ35" s="1">
        <f t="shared" si="30"/>
        <v>6936.4578531600346</v>
      </c>
      <c r="BB35">
        <f t="shared" si="11"/>
        <v>2012</v>
      </c>
      <c r="BC35" s="17">
        <f t="shared" si="12"/>
        <v>3885.2260000000001</v>
      </c>
      <c r="BD35" s="17">
        <f t="shared" si="31"/>
        <v>4656.7658571428574</v>
      </c>
      <c r="BE35" s="17">
        <f t="shared" si="32"/>
        <v>-771.53985714285727</v>
      </c>
      <c r="BF35" s="1">
        <f t="shared" si="33"/>
        <v>595273.75116002059</v>
      </c>
      <c r="BP35" s="29"/>
      <c r="BQ35" s="36"/>
      <c r="BR35" s="36"/>
      <c r="BS35" s="36"/>
      <c r="BT35" s="36"/>
      <c r="BU35" s="36"/>
      <c r="BV35" s="36"/>
      <c r="BW35" s="30"/>
    </row>
    <row r="36" spans="3:75" x14ac:dyDescent="0.2">
      <c r="R36">
        <f>R35+1</f>
        <v>2013</v>
      </c>
      <c r="U36" s="17">
        <f t="shared" si="22"/>
        <v>4206.7745714285711</v>
      </c>
      <c r="Z36">
        <f>R36</f>
        <v>2013</v>
      </c>
      <c r="AC36" s="17">
        <f t="shared" si="18"/>
        <v>4074.5433999999996</v>
      </c>
      <c r="AH36">
        <f>Z36</f>
        <v>2013</v>
      </c>
      <c r="AK36" s="17">
        <f t="shared" si="14"/>
        <v>3973.9492500000001</v>
      </c>
      <c r="AP36">
        <f>AH36</f>
        <v>2013</v>
      </c>
      <c r="AQ36" s="17"/>
      <c r="AR36" s="17">
        <f t="shared" si="16"/>
        <v>3904.5043333333338</v>
      </c>
      <c r="AV36">
        <f>AP36</f>
        <v>2013</v>
      </c>
      <c r="AW36" s="17"/>
      <c r="AX36" s="17">
        <f t="shared" si="20"/>
        <v>4074.5433999999996</v>
      </c>
      <c r="BB36">
        <f>AV36</f>
        <v>2013</v>
      </c>
      <c r="BC36" s="17"/>
      <c r="BD36" s="17">
        <f t="shared" si="31"/>
        <v>4206.7745714285711</v>
      </c>
      <c r="BP36" s="29"/>
      <c r="BQ36" s="36"/>
      <c r="BR36" s="36"/>
      <c r="BS36" s="36"/>
      <c r="BT36" s="36"/>
      <c r="BU36" s="36"/>
      <c r="BV36" s="36"/>
      <c r="BW36" s="30"/>
    </row>
    <row r="37" spans="3:75" x14ac:dyDescent="0.2">
      <c r="R37">
        <f>R36+1</f>
        <v>2014</v>
      </c>
      <c r="U37" s="17">
        <f t="shared" si="22"/>
        <v>4206.7745714285711</v>
      </c>
      <c r="Z37">
        <f>R37</f>
        <v>2014</v>
      </c>
      <c r="AC37" s="17">
        <f t="shared" si="18"/>
        <v>4074.5433999999996</v>
      </c>
      <c r="AH37">
        <f>Z37</f>
        <v>2014</v>
      </c>
      <c r="AK37" s="17">
        <f t="shared" si="14"/>
        <v>3973.9492500000001</v>
      </c>
      <c r="AP37">
        <f>AH37</f>
        <v>2014</v>
      </c>
      <c r="AQ37" s="17"/>
      <c r="AR37" s="17">
        <f>AR36</f>
        <v>3904.5043333333338</v>
      </c>
      <c r="AV37">
        <f>AP37</f>
        <v>2014</v>
      </c>
      <c r="AW37" s="17"/>
      <c r="AX37" s="17">
        <f>AX36</f>
        <v>4074.5433999999996</v>
      </c>
      <c r="BB37">
        <f>AV37</f>
        <v>2014</v>
      </c>
      <c r="BC37" s="17"/>
      <c r="BD37" s="17">
        <f>BD36</f>
        <v>4206.7745714285711</v>
      </c>
      <c r="BP37" s="29"/>
      <c r="BQ37" s="36"/>
      <c r="BR37" s="36"/>
      <c r="BS37" s="36"/>
      <c r="BT37" s="36"/>
      <c r="BU37" s="36"/>
      <c r="BV37" s="36"/>
      <c r="BW37" s="30"/>
    </row>
    <row r="38" spans="3:75" x14ac:dyDescent="0.2">
      <c r="R38">
        <f>R37+1</f>
        <v>2015</v>
      </c>
      <c r="U38" s="17">
        <f t="shared" si="22"/>
        <v>4206.7745714285711</v>
      </c>
      <c r="Z38">
        <f>R38</f>
        <v>2015</v>
      </c>
      <c r="AC38" s="17">
        <f t="shared" si="18"/>
        <v>4074.5433999999996</v>
      </c>
      <c r="AH38">
        <f>Z38</f>
        <v>2015</v>
      </c>
      <c r="AK38" s="17">
        <f t="shared" si="14"/>
        <v>3973.9492500000001</v>
      </c>
      <c r="AP38">
        <f>AH38</f>
        <v>2015</v>
      </c>
      <c r="AQ38" s="17"/>
      <c r="AR38" s="17">
        <f>AR37</f>
        <v>3904.5043333333338</v>
      </c>
      <c r="AV38">
        <f>AP38</f>
        <v>2015</v>
      </c>
      <c r="AW38" s="17"/>
      <c r="AX38" s="17">
        <f>AX37</f>
        <v>4074.5433999999996</v>
      </c>
      <c r="BB38">
        <f>AV38</f>
        <v>2015</v>
      </c>
      <c r="BC38" s="17"/>
      <c r="BD38" s="17">
        <f>BD37</f>
        <v>4206.7745714285711</v>
      </c>
      <c r="BP38" s="29"/>
      <c r="BQ38" s="36"/>
      <c r="BR38" s="36"/>
      <c r="BS38" s="36"/>
      <c r="BT38" s="36"/>
      <c r="BU38" s="36"/>
      <c r="BV38" s="36"/>
      <c r="BW38" s="30"/>
    </row>
    <row r="39" spans="3:75" x14ac:dyDescent="0.2">
      <c r="R39">
        <f>R38+1</f>
        <v>2016</v>
      </c>
      <c r="U39" s="17">
        <f t="shared" si="22"/>
        <v>4206.7745714285711</v>
      </c>
      <c r="Z39">
        <f>R39</f>
        <v>2016</v>
      </c>
      <c r="AC39" s="17">
        <f t="shared" si="18"/>
        <v>4074.5433999999996</v>
      </c>
      <c r="AH39">
        <f>Z39</f>
        <v>2016</v>
      </c>
      <c r="AK39" s="17">
        <f t="shared" si="14"/>
        <v>3973.9492500000001</v>
      </c>
      <c r="AP39">
        <f>AH39</f>
        <v>2016</v>
      </c>
      <c r="AQ39" s="17"/>
      <c r="AR39" s="17">
        <f>AR38</f>
        <v>3904.5043333333338</v>
      </c>
      <c r="AV39">
        <f>AP39</f>
        <v>2016</v>
      </c>
      <c r="AW39" s="17"/>
      <c r="AX39" s="17">
        <f>AX38</f>
        <v>4074.5433999999996</v>
      </c>
      <c r="BB39">
        <f>AV39</f>
        <v>2016</v>
      </c>
      <c r="BC39" s="17"/>
      <c r="BD39" s="17">
        <f>BD38</f>
        <v>4206.7745714285711</v>
      </c>
      <c r="BP39" s="29"/>
      <c r="BQ39" s="36"/>
      <c r="BR39" s="36"/>
      <c r="BS39" s="36"/>
      <c r="BT39" s="36"/>
      <c r="BU39" s="36"/>
      <c r="BV39" s="36"/>
      <c r="BW39" s="30"/>
    </row>
    <row r="40" spans="3:75" x14ac:dyDescent="0.2">
      <c r="BP40" s="29"/>
      <c r="BQ40" s="36"/>
      <c r="BR40" s="36"/>
      <c r="BS40" s="36"/>
      <c r="BT40" s="36"/>
      <c r="BU40" s="36"/>
      <c r="BV40" s="36"/>
      <c r="BW40" s="30"/>
    </row>
    <row r="41" spans="3:75" x14ac:dyDescent="0.2">
      <c r="BP41" s="29"/>
      <c r="BQ41" s="36"/>
      <c r="BR41" s="36"/>
      <c r="BS41" s="36"/>
      <c r="BT41" s="36"/>
      <c r="BU41" s="36"/>
      <c r="BV41" s="36"/>
      <c r="BW41" s="30"/>
    </row>
    <row r="42" spans="3:75" ht="13.5" thickBot="1" x14ac:dyDescent="0.25">
      <c r="BP42" s="37"/>
      <c r="BQ42" s="38"/>
      <c r="BR42" s="38"/>
      <c r="BS42" s="38"/>
      <c r="BT42" s="38"/>
      <c r="BU42" s="38"/>
      <c r="BV42" s="38"/>
      <c r="BW42" s="33"/>
    </row>
    <row r="60" spans="68:75" ht="13.5" thickBot="1" x14ac:dyDescent="0.25"/>
    <row r="61" spans="68:75" x14ac:dyDescent="0.2">
      <c r="BP61" s="34"/>
      <c r="BQ61" s="35"/>
      <c r="BR61" s="35"/>
      <c r="BS61" s="35"/>
      <c r="BT61" s="35"/>
      <c r="BU61" s="35"/>
      <c r="BV61" s="35"/>
      <c r="BW61" s="28"/>
    </row>
    <row r="62" spans="68:75" x14ac:dyDescent="0.2">
      <c r="BP62" s="29"/>
      <c r="BQ62" s="36"/>
      <c r="BR62" s="36"/>
      <c r="BS62" s="36"/>
      <c r="BT62" s="36"/>
      <c r="BU62" s="36"/>
      <c r="BV62" s="36"/>
      <c r="BW62" s="30"/>
    </row>
    <row r="63" spans="68:75" x14ac:dyDescent="0.2">
      <c r="BP63" s="29"/>
      <c r="BQ63" s="36"/>
      <c r="BR63" s="36"/>
      <c r="BS63" s="36"/>
      <c r="BT63" s="36"/>
      <c r="BU63" s="36"/>
      <c r="BV63" s="36"/>
      <c r="BW63" s="30"/>
    </row>
    <row r="64" spans="68:75" x14ac:dyDescent="0.2">
      <c r="BP64" s="29"/>
      <c r="BQ64" s="36"/>
      <c r="BR64" s="36"/>
      <c r="BS64" s="36"/>
      <c r="BT64" s="36"/>
      <c r="BU64" s="36"/>
      <c r="BV64" s="36"/>
      <c r="BW64" s="30"/>
    </row>
    <row r="65" spans="68:75" x14ac:dyDescent="0.2">
      <c r="BP65" s="29"/>
      <c r="BQ65" s="36"/>
      <c r="BR65" s="36"/>
      <c r="BS65" s="36"/>
      <c r="BT65" s="36"/>
      <c r="BU65" s="36"/>
      <c r="BV65" s="36"/>
      <c r="BW65" s="30"/>
    </row>
    <row r="66" spans="68:75" x14ac:dyDescent="0.2">
      <c r="BP66" s="29"/>
      <c r="BQ66" s="36"/>
      <c r="BR66" s="36"/>
      <c r="BS66" s="36"/>
      <c r="BT66" s="36"/>
      <c r="BU66" s="36"/>
      <c r="BV66" s="36"/>
      <c r="BW66" s="30"/>
    </row>
    <row r="67" spans="68:75" x14ac:dyDescent="0.2">
      <c r="BP67" s="29"/>
      <c r="BQ67" s="36"/>
      <c r="BR67" s="36"/>
      <c r="BS67" s="36"/>
      <c r="BT67" s="36"/>
      <c r="BU67" s="36"/>
      <c r="BV67" s="36"/>
      <c r="BW67" s="30"/>
    </row>
    <row r="68" spans="68:75" x14ac:dyDescent="0.2">
      <c r="BP68" s="29"/>
      <c r="BQ68" s="36"/>
      <c r="BR68" s="36"/>
      <c r="BS68" s="36"/>
      <c r="BT68" s="36"/>
      <c r="BU68" s="36"/>
      <c r="BV68" s="36"/>
      <c r="BW68" s="30"/>
    </row>
    <row r="69" spans="68:75" x14ac:dyDescent="0.2">
      <c r="BP69" s="29"/>
      <c r="BQ69" s="36"/>
      <c r="BR69" s="36"/>
      <c r="BS69" s="36"/>
      <c r="BT69" s="36"/>
      <c r="BU69" s="36"/>
      <c r="BV69" s="36"/>
      <c r="BW69" s="30"/>
    </row>
    <row r="70" spans="68:75" x14ac:dyDescent="0.2">
      <c r="BP70" s="29"/>
      <c r="BQ70" s="36"/>
      <c r="BR70" s="36"/>
      <c r="BS70" s="36"/>
      <c r="BT70" s="36"/>
      <c r="BU70" s="36"/>
      <c r="BV70" s="36"/>
      <c r="BW70" s="30"/>
    </row>
    <row r="71" spans="68:75" x14ac:dyDescent="0.2">
      <c r="BP71" s="29"/>
      <c r="BQ71" s="36"/>
      <c r="BR71" s="36"/>
      <c r="BS71" s="36"/>
      <c r="BT71" s="36"/>
      <c r="BU71" s="36"/>
      <c r="BV71" s="36"/>
      <c r="BW71" s="30"/>
    </row>
    <row r="72" spans="68:75" x14ac:dyDescent="0.2">
      <c r="BP72" s="29"/>
      <c r="BQ72" s="36"/>
      <c r="BR72" s="36"/>
      <c r="BS72" s="36"/>
      <c r="BT72" s="36"/>
      <c r="BU72" s="36"/>
      <c r="BV72" s="36"/>
      <c r="BW72" s="30"/>
    </row>
    <row r="73" spans="68:75" x14ac:dyDescent="0.2">
      <c r="BP73" s="29"/>
      <c r="BQ73" s="36"/>
      <c r="BR73" s="36"/>
      <c r="BS73" s="36"/>
      <c r="BT73" s="36"/>
      <c r="BU73" s="36"/>
      <c r="BV73" s="36"/>
      <c r="BW73" s="30"/>
    </row>
    <row r="74" spans="68:75" x14ac:dyDescent="0.2">
      <c r="BP74" s="29"/>
      <c r="BQ74" s="36"/>
      <c r="BR74" s="36"/>
      <c r="BS74" s="36"/>
      <c r="BT74" s="36"/>
      <c r="BU74" s="36"/>
      <c r="BV74" s="36"/>
      <c r="BW74" s="30"/>
    </row>
    <row r="75" spans="68:75" x14ac:dyDescent="0.2">
      <c r="BP75" s="29"/>
      <c r="BQ75" s="36"/>
      <c r="BR75" s="36"/>
      <c r="BS75" s="36"/>
      <c r="BT75" s="36"/>
      <c r="BU75" s="36"/>
      <c r="BV75" s="36"/>
      <c r="BW75" s="30"/>
    </row>
    <row r="76" spans="68:75" x14ac:dyDescent="0.2">
      <c r="BP76" s="29"/>
      <c r="BQ76" s="36"/>
      <c r="BR76" s="36"/>
      <c r="BS76" s="36"/>
      <c r="BT76" s="36"/>
      <c r="BU76" s="36"/>
      <c r="BV76" s="36"/>
      <c r="BW76" s="30"/>
    </row>
    <row r="77" spans="68:75" x14ac:dyDescent="0.2">
      <c r="BP77" s="29"/>
      <c r="BQ77" s="36"/>
      <c r="BR77" s="36"/>
      <c r="BS77" s="36"/>
      <c r="BT77" s="36"/>
      <c r="BU77" s="36"/>
      <c r="BV77" s="36"/>
      <c r="BW77" s="30"/>
    </row>
    <row r="78" spans="68:75" x14ac:dyDescent="0.2">
      <c r="BP78" s="29"/>
      <c r="BQ78" s="36"/>
      <c r="BR78" s="36"/>
      <c r="BS78" s="36"/>
      <c r="BT78" s="36"/>
      <c r="BU78" s="36"/>
      <c r="BV78" s="36"/>
      <c r="BW78" s="30"/>
    </row>
    <row r="79" spans="68:75" ht="13.5" thickBot="1" x14ac:dyDescent="0.25">
      <c r="BP79" s="37"/>
      <c r="BQ79" s="38"/>
      <c r="BR79" s="38"/>
      <c r="BS79" s="38"/>
      <c r="BT79" s="38"/>
      <c r="BU79" s="38"/>
      <c r="BV79" s="38"/>
      <c r="BW79" s="3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9"/>
  <sheetViews>
    <sheetView topLeftCell="R10" workbookViewId="0">
      <selection activeCell="R1" sqref="R1:W39"/>
    </sheetView>
  </sheetViews>
  <sheetFormatPr defaultRowHeight="12.75" x14ac:dyDescent="0.2"/>
  <cols>
    <col min="4" max="4" width="12.28515625" bestFit="1" customWidth="1"/>
    <col min="6" max="6" width="13.7109375" customWidth="1"/>
    <col min="19" max="19" width="10.28515625" bestFit="1" customWidth="1"/>
    <col min="20" max="20" width="6.7109375" bestFit="1" customWidth="1"/>
    <col min="21" max="21" width="8.28515625" bestFit="1" customWidth="1"/>
    <col min="22" max="22" width="7.28515625" bestFit="1" customWidth="1"/>
    <col min="23" max="23" width="12.42578125" bestFit="1" customWidth="1"/>
    <col min="28" max="30" width="9" bestFit="1" customWidth="1"/>
    <col min="31" max="31" width="12.42578125" bestFit="1" customWidth="1"/>
    <col min="36" max="38" width="9" bestFit="1" customWidth="1"/>
    <col min="39" max="39" width="12.42578125" bestFit="1" customWidth="1"/>
  </cols>
  <sheetData>
    <row r="1" spans="1:40" x14ac:dyDescent="0.2">
      <c r="C1" s="14" t="s">
        <v>7</v>
      </c>
      <c r="D1" s="15" t="s">
        <v>28</v>
      </c>
      <c r="E1" s="14" t="s">
        <v>5</v>
      </c>
      <c r="F1" s="13" t="str">
        <f>IF(D3&gt;A3,B3,IF(D3&gt;A4,B4,B5))</f>
        <v>$ Millions</v>
      </c>
      <c r="S1">
        <v>1000</v>
      </c>
    </row>
    <row r="2" spans="1:40" s="9" customFormat="1" x14ac:dyDescent="0.2">
      <c r="C2" s="9">
        <v>2</v>
      </c>
      <c r="D2" s="12" t="s">
        <v>27</v>
      </c>
      <c r="E2" s="11" t="s">
        <v>3</v>
      </c>
      <c r="F2" s="10" t="str">
        <f>TRIM(D2)</f>
        <v>Forfeitures</v>
      </c>
    </row>
    <row r="3" spans="1:40" x14ac:dyDescent="0.2">
      <c r="A3" s="8">
        <v>1000000</v>
      </c>
      <c r="B3" s="7" t="s">
        <v>2</v>
      </c>
      <c r="C3">
        <v>3</v>
      </c>
      <c r="D3" s="2">
        <v>2158856</v>
      </c>
      <c r="E3">
        <v>1980</v>
      </c>
      <c r="F3" s="1">
        <f t="shared" ref="F3:F35" si="0">IF(D3&gt;$A$3,D3/$A$3,IF(D3&gt;$A$4,D3/$A$4,D3))</f>
        <v>2.1588560000000001</v>
      </c>
    </row>
    <row r="4" spans="1:40" x14ac:dyDescent="0.2">
      <c r="A4" s="6">
        <v>1000</v>
      </c>
      <c r="B4" s="5" t="s">
        <v>1</v>
      </c>
      <c r="C4">
        <v>4</v>
      </c>
      <c r="D4" s="2">
        <v>2636992</v>
      </c>
      <c r="E4">
        <v>1981</v>
      </c>
      <c r="F4" s="1">
        <f t="shared" si="0"/>
        <v>2.6369919999999998</v>
      </c>
    </row>
    <row r="5" spans="1:40" x14ac:dyDescent="0.2">
      <c r="A5" s="4"/>
      <c r="B5" s="3" t="s">
        <v>0</v>
      </c>
      <c r="C5">
        <v>5</v>
      </c>
      <c r="D5" s="2">
        <v>2841888</v>
      </c>
      <c r="E5">
        <v>1982</v>
      </c>
      <c r="F5" s="1">
        <f t="shared" si="0"/>
        <v>2.841888</v>
      </c>
    </row>
    <row r="6" spans="1:40" x14ac:dyDescent="0.2">
      <c r="C6">
        <v>6</v>
      </c>
      <c r="D6" s="2">
        <v>2473208</v>
      </c>
      <c r="E6">
        <v>1983</v>
      </c>
      <c r="F6" s="1">
        <f t="shared" si="0"/>
        <v>2.4732080000000001</v>
      </c>
    </row>
    <row r="7" spans="1:40" x14ac:dyDescent="0.2">
      <c r="C7">
        <v>7</v>
      </c>
      <c r="D7" s="2">
        <v>4825765</v>
      </c>
      <c r="E7">
        <v>1984</v>
      </c>
      <c r="F7" s="1">
        <f t="shared" si="0"/>
        <v>4.8257649999999996</v>
      </c>
    </row>
    <row r="8" spans="1:40" x14ac:dyDescent="0.2">
      <c r="C8">
        <v>8</v>
      </c>
      <c r="D8" s="2">
        <v>3016595</v>
      </c>
      <c r="E8">
        <v>1985</v>
      </c>
      <c r="F8" s="1">
        <f t="shared" si="0"/>
        <v>3.0165950000000001</v>
      </c>
    </row>
    <row r="9" spans="1:40" x14ac:dyDescent="0.2">
      <c r="C9">
        <v>9</v>
      </c>
      <c r="D9" s="2">
        <v>4481673</v>
      </c>
      <c r="E9">
        <v>1986</v>
      </c>
      <c r="F9" s="1">
        <f t="shared" si="0"/>
        <v>4.4816729999999998</v>
      </c>
    </row>
    <row r="10" spans="1:40" x14ac:dyDescent="0.2">
      <c r="C10">
        <v>10</v>
      </c>
      <c r="D10" s="2">
        <v>7028173</v>
      </c>
      <c r="E10">
        <v>1987</v>
      </c>
      <c r="F10" s="1">
        <f t="shared" si="0"/>
        <v>7.0281729999999998</v>
      </c>
      <c r="R10" s="10" t="str">
        <f>E2</f>
        <v>Year</v>
      </c>
      <c r="S10" s="10" t="str">
        <f>F2</f>
        <v>Forfeitures</v>
      </c>
      <c r="T10" s="10" t="s">
        <v>26</v>
      </c>
      <c r="U10" s="10" t="s">
        <v>25</v>
      </c>
      <c r="V10" s="26" t="s">
        <v>20</v>
      </c>
      <c r="W10" s="13" t="s">
        <v>24</v>
      </c>
      <c r="Z10" t="str">
        <f>R10</f>
        <v>Year</v>
      </c>
      <c r="AA10" t="str">
        <f>S10</f>
        <v>Forfeitures</v>
      </c>
      <c r="AB10" s="14" t="s">
        <v>23</v>
      </c>
      <c r="AC10" t="str">
        <f>U10</f>
        <v>Forecast</v>
      </c>
      <c r="AD10" t="str">
        <f>V10</f>
        <v>Error</v>
      </c>
      <c r="AE10" t="str">
        <f>W10</f>
        <v>Error Squared</v>
      </c>
      <c r="AH10" t="str">
        <f>Z10</f>
        <v>Year</v>
      </c>
      <c r="AI10" t="str">
        <f>AA10</f>
        <v>Forfeitures</v>
      </c>
      <c r="AJ10" s="14" t="s">
        <v>22</v>
      </c>
      <c r="AK10" t="str">
        <f>AC10</f>
        <v>Forecast</v>
      </c>
      <c r="AL10" t="str">
        <f>AD10</f>
        <v>Error</v>
      </c>
      <c r="AM10" t="str">
        <f>AE10</f>
        <v>Error Squared</v>
      </c>
    </row>
    <row r="11" spans="1:40" x14ac:dyDescent="0.2">
      <c r="C11">
        <v>11</v>
      </c>
      <c r="D11" s="2">
        <v>11573762</v>
      </c>
      <c r="E11">
        <v>1988</v>
      </c>
      <c r="F11" s="1">
        <f t="shared" si="0"/>
        <v>11.573762</v>
      </c>
      <c r="V11" s="17">
        <f>AVERAGE(V20:V35)</f>
        <v>-574.85682142857161</v>
      </c>
      <c r="W11" s="17">
        <f>AVERAGE(W20:W35)</f>
        <v>3020399.1794522936</v>
      </c>
      <c r="X11" s="14" t="s">
        <v>16</v>
      </c>
      <c r="AD11" s="17">
        <f>AVERAGE(AD20:AD35)</f>
        <v>-369.56576250000001</v>
      </c>
      <c r="AE11" s="17">
        <f>AVERAGE(AE20:AE35)</f>
        <v>2808622.3747554533</v>
      </c>
      <c r="AF11" s="14" t="s">
        <v>16</v>
      </c>
      <c r="AL11" s="17">
        <f>AVERAGE(AL20:AL35)</f>
        <v>-266.10728124999997</v>
      </c>
      <c r="AM11" s="17">
        <f>AVERAGE(AM20:AM35)</f>
        <v>2766416.4673124063</v>
      </c>
      <c r="AN11" s="14" t="s">
        <v>16</v>
      </c>
    </row>
    <row r="12" spans="1:40" x14ac:dyDescent="0.2">
      <c r="C12">
        <v>12</v>
      </c>
      <c r="D12" s="2">
        <v>9943769</v>
      </c>
      <c r="E12">
        <v>1989</v>
      </c>
      <c r="F12" s="1">
        <f t="shared" si="0"/>
        <v>9.9437689999999996</v>
      </c>
      <c r="W12" s="1">
        <f>SQRT(W11)</f>
        <v>1737.9295668847726</v>
      </c>
      <c r="X12" s="14" t="s">
        <v>15</v>
      </c>
      <c r="AE12" s="1">
        <f>SQRT(AE11)</f>
        <v>1675.89449988818</v>
      </c>
      <c r="AF12" s="14" t="s">
        <v>15</v>
      </c>
      <c r="AM12" s="1">
        <f>SQRT(AM11)</f>
        <v>1663.2547812384025</v>
      </c>
      <c r="AN12" s="14" t="s">
        <v>15</v>
      </c>
    </row>
    <row r="13" spans="1:40" x14ac:dyDescent="0.2">
      <c r="C13">
        <v>13</v>
      </c>
      <c r="D13" s="2">
        <v>7467584</v>
      </c>
      <c r="E13">
        <v>1990</v>
      </c>
      <c r="F13" s="1">
        <f t="shared" si="0"/>
        <v>7.4675840000000004</v>
      </c>
      <c r="R13">
        <f t="shared" ref="R13:R35" si="1">E13</f>
        <v>1990</v>
      </c>
      <c r="S13" s="17">
        <f t="shared" ref="S13:S35" si="2">D13/S$1</f>
        <v>7467.5839999999998</v>
      </c>
      <c r="Z13">
        <f t="shared" ref="Z13:Z35" si="3">R13</f>
        <v>1990</v>
      </c>
      <c r="AA13" s="17">
        <f t="shared" ref="AA13:AA35" si="4">S13</f>
        <v>7467.5839999999998</v>
      </c>
      <c r="AH13">
        <f t="shared" ref="AH13:AH35" si="5">Z13</f>
        <v>1990</v>
      </c>
      <c r="AI13" s="17">
        <f t="shared" ref="AI13:AI35" si="6">AA13</f>
        <v>7467.5839999999998</v>
      </c>
    </row>
    <row r="14" spans="1:40" x14ac:dyDescent="0.2">
      <c r="C14">
        <v>14</v>
      </c>
      <c r="D14" s="2">
        <v>7356050</v>
      </c>
      <c r="E14">
        <v>1991</v>
      </c>
      <c r="F14" s="1">
        <f t="shared" si="0"/>
        <v>7.3560499999999998</v>
      </c>
      <c r="R14">
        <f t="shared" si="1"/>
        <v>1991</v>
      </c>
      <c r="S14" s="17">
        <f t="shared" si="2"/>
        <v>7356.05</v>
      </c>
      <c r="Z14">
        <f t="shared" si="3"/>
        <v>1991</v>
      </c>
      <c r="AA14" s="17">
        <f t="shared" si="4"/>
        <v>7356.05</v>
      </c>
      <c r="AH14">
        <f t="shared" si="5"/>
        <v>1991</v>
      </c>
      <c r="AI14" s="17">
        <f t="shared" si="6"/>
        <v>7356.05</v>
      </c>
    </row>
    <row r="15" spans="1:40" x14ac:dyDescent="0.2">
      <c r="C15">
        <v>15</v>
      </c>
      <c r="D15" s="2">
        <v>6771044</v>
      </c>
      <c r="E15">
        <v>1992</v>
      </c>
      <c r="F15" s="1">
        <f t="shared" si="0"/>
        <v>6.7710439999999998</v>
      </c>
      <c r="R15">
        <f t="shared" si="1"/>
        <v>1992</v>
      </c>
      <c r="S15" s="17">
        <f t="shared" si="2"/>
        <v>6771.0439999999999</v>
      </c>
      <c r="Z15">
        <f t="shared" si="3"/>
        <v>1992</v>
      </c>
      <c r="AA15" s="17">
        <f t="shared" si="4"/>
        <v>6771.0439999999999</v>
      </c>
      <c r="AH15">
        <f t="shared" si="5"/>
        <v>1992</v>
      </c>
      <c r="AI15" s="17">
        <f t="shared" si="6"/>
        <v>6771.0439999999999</v>
      </c>
      <c r="AJ15" s="17">
        <f t="shared" ref="AJ15:AJ35" si="7">AVERAGE(AI12:AI15)</f>
        <v>7198.2259999999997</v>
      </c>
      <c r="AK15" s="17"/>
      <c r="AL15" s="17"/>
    </row>
    <row r="16" spans="1:40" x14ac:dyDescent="0.2">
      <c r="C16">
        <v>16</v>
      </c>
      <c r="D16" s="2">
        <v>8737958</v>
      </c>
      <c r="E16">
        <v>1993</v>
      </c>
      <c r="F16" s="1">
        <f t="shared" si="0"/>
        <v>8.7379580000000008</v>
      </c>
      <c r="R16">
        <f t="shared" si="1"/>
        <v>1993</v>
      </c>
      <c r="S16" s="17">
        <f t="shared" si="2"/>
        <v>8737.9580000000005</v>
      </c>
      <c r="Z16">
        <f t="shared" si="3"/>
        <v>1993</v>
      </c>
      <c r="AA16" s="17">
        <f t="shared" si="4"/>
        <v>8737.9580000000005</v>
      </c>
      <c r="AH16">
        <f t="shared" si="5"/>
        <v>1993</v>
      </c>
      <c r="AI16" s="17">
        <f t="shared" si="6"/>
        <v>8737.9580000000005</v>
      </c>
      <c r="AJ16" s="17">
        <f t="shared" si="7"/>
        <v>7583.1589999999997</v>
      </c>
      <c r="AK16" s="17">
        <f t="shared" ref="AK16:AK39" si="8">IF(AJ15="",AK15,AJ15)</f>
        <v>7198.2259999999997</v>
      </c>
      <c r="AL16" s="17"/>
    </row>
    <row r="17" spans="3:39" x14ac:dyDescent="0.2">
      <c r="C17">
        <v>17</v>
      </c>
      <c r="D17" s="2">
        <v>7907044</v>
      </c>
      <c r="E17">
        <v>1994</v>
      </c>
      <c r="F17" s="1">
        <f t="shared" si="0"/>
        <v>7.907044</v>
      </c>
      <c r="R17">
        <f t="shared" si="1"/>
        <v>1994</v>
      </c>
      <c r="S17" s="17">
        <f t="shared" si="2"/>
        <v>7907.0439999999999</v>
      </c>
      <c r="Z17">
        <f t="shared" si="3"/>
        <v>1994</v>
      </c>
      <c r="AA17" s="17">
        <f t="shared" si="4"/>
        <v>7907.0439999999999</v>
      </c>
      <c r="AB17" s="17">
        <f t="shared" ref="AB17:AB35" si="9">AVERAGE(AA13:AA17)</f>
        <v>7647.9359999999997</v>
      </c>
      <c r="AH17">
        <f t="shared" si="5"/>
        <v>1994</v>
      </c>
      <c r="AI17" s="17">
        <f t="shared" si="6"/>
        <v>7907.0439999999999</v>
      </c>
      <c r="AJ17" s="17">
        <f t="shared" si="7"/>
        <v>7693.0240000000013</v>
      </c>
      <c r="AK17" s="17">
        <f t="shared" si="8"/>
        <v>7583.1589999999997</v>
      </c>
      <c r="AL17" s="17"/>
    </row>
    <row r="18" spans="3:39" x14ac:dyDescent="0.2">
      <c r="C18">
        <v>18</v>
      </c>
      <c r="D18" s="2">
        <v>6674609</v>
      </c>
      <c r="E18">
        <v>1995</v>
      </c>
      <c r="F18" s="1">
        <f t="shared" si="0"/>
        <v>6.6746090000000002</v>
      </c>
      <c r="R18">
        <f t="shared" si="1"/>
        <v>1995</v>
      </c>
      <c r="S18" s="17">
        <f t="shared" si="2"/>
        <v>6674.6090000000004</v>
      </c>
      <c r="Z18">
        <f t="shared" si="3"/>
        <v>1995</v>
      </c>
      <c r="AA18" s="17">
        <f t="shared" si="4"/>
        <v>6674.6090000000004</v>
      </c>
      <c r="AB18" s="17">
        <f t="shared" si="9"/>
        <v>7489.3410000000003</v>
      </c>
      <c r="AC18" s="17">
        <f t="shared" ref="AC18:AC39" si="10">IF(AB17="",AC17,AB17)</f>
        <v>7647.9359999999997</v>
      </c>
      <c r="AD18" s="17"/>
      <c r="AH18">
        <f t="shared" si="5"/>
        <v>1995</v>
      </c>
      <c r="AI18" s="17">
        <f t="shared" si="6"/>
        <v>6674.6090000000004</v>
      </c>
      <c r="AJ18" s="17">
        <f t="shared" si="7"/>
        <v>7522.6637500000006</v>
      </c>
      <c r="AK18" s="17">
        <f t="shared" si="8"/>
        <v>7693.0240000000013</v>
      </c>
      <c r="AL18" s="17"/>
    </row>
    <row r="19" spans="3:39" x14ac:dyDescent="0.2">
      <c r="C19">
        <v>19</v>
      </c>
      <c r="D19" s="2">
        <v>2816457</v>
      </c>
      <c r="E19">
        <v>1996</v>
      </c>
      <c r="F19" s="1">
        <f t="shared" si="0"/>
        <v>2.8164570000000002</v>
      </c>
      <c r="R19">
        <f t="shared" si="1"/>
        <v>1996</v>
      </c>
      <c r="S19" s="17">
        <f t="shared" si="2"/>
        <v>2816.4569999999999</v>
      </c>
      <c r="T19" s="17">
        <f t="shared" ref="T19:T35" si="11">AVERAGE(S13:S19)</f>
        <v>6818.6780000000008</v>
      </c>
      <c r="Z19">
        <f t="shared" si="3"/>
        <v>1996</v>
      </c>
      <c r="AA19" s="17">
        <f t="shared" si="4"/>
        <v>2816.4569999999999</v>
      </c>
      <c r="AB19" s="17">
        <f t="shared" si="9"/>
        <v>6581.4224000000004</v>
      </c>
      <c r="AC19" s="17">
        <f t="shared" si="10"/>
        <v>7489.3410000000003</v>
      </c>
      <c r="AD19" s="17"/>
      <c r="AH19">
        <f t="shared" si="5"/>
        <v>1996</v>
      </c>
      <c r="AI19" s="17">
        <f t="shared" si="6"/>
        <v>2816.4569999999999</v>
      </c>
      <c r="AJ19" s="17">
        <f t="shared" si="7"/>
        <v>6534.0169999999998</v>
      </c>
      <c r="AK19" s="17">
        <f t="shared" si="8"/>
        <v>7522.6637500000006</v>
      </c>
      <c r="AL19" s="17"/>
    </row>
    <row r="20" spans="3:39" x14ac:dyDescent="0.2">
      <c r="C20">
        <v>20</v>
      </c>
      <c r="D20" s="2">
        <v>8425013</v>
      </c>
      <c r="E20">
        <v>1997</v>
      </c>
      <c r="F20" s="1">
        <f t="shared" si="0"/>
        <v>8.4250129999999999</v>
      </c>
      <c r="R20">
        <f t="shared" si="1"/>
        <v>1997</v>
      </c>
      <c r="S20" s="17">
        <f t="shared" si="2"/>
        <v>8425.0130000000008</v>
      </c>
      <c r="T20" s="17">
        <f t="shared" si="11"/>
        <v>6955.4535714285721</v>
      </c>
      <c r="U20" s="17">
        <f t="shared" ref="U20:U39" si="12">IF(T19="",U19,T19)</f>
        <v>6818.6780000000008</v>
      </c>
      <c r="V20" s="17">
        <f t="shared" ref="V20:V35" si="13">S20-U20</f>
        <v>1606.335</v>
      </c>
      <c r="W20" s="17">
        <f t="shared" ref="W20:W35" si="14">V20^2</f>
        <v>2580312.1322250003</v>
      </c>
      <c r="Z20">
        <f t="shared" si="3"/>
        <v>1997</v>
      </c>
      <c r="AA20" s="17">
        <f t="shared" si="4"/>
        <v>8425.0130000000008</v>
      </c>
      <c r="AB20" s="17">
        <f t="shared" si="9"/>
        <v>6912.2161999999998</v>
      </c>
      <c r="AC20" s="17">
        <f t="shared" si="10"/>
        <v>6581.4224000000004</v>
      </c>
      <c r="AD20" s="17">
        <f t="shared" ref="AD20:AD35" si="15">AA20-AC20</f>
        <v>1843.5906000000004</v>
      </c>
      <c r="AE20" s="17">
        <f t="shared" ref="AE20:AE35" si="16">AD20^2</f>
        <v>3398826.3004083615</v>
      </c>
      <c r="AH20">
        <f t="shared" si="5"/>
        <v>1997</v>
      </c>
      <c r="AI20" s="17">
        <f t="shared" si="6"/>
        <v>8425.0130000000008</v>
      </c>
      <c r="AJ20" s="17">
        <f t="shared" si="7"/>
        <v>6455.7807499999999</v>
      </c>
      <c r="AK20" s="17">
        <f t="shared" si="8"/>
        <v>6534.0169999999998</v>
      </c>
      <c r="AL20" s="17">
        <f t="shared" ref="AL20:AL35" si="17">AI20-AK20</f>
        <v>1890.996000000001</v>
      </c>
      <c r="AM20" s="17">
        <f t="shared" ref="AM20:AM35" si="18">AL20^2</f>
        <v>3575865.8720160038</v>
      </c>
    </row>
    <row r="21" spans="3:39" x14ac:dyDescent="0.2">
      <c r="C21">
        <v>21</v>
      </c>
      <c r="D21" s="2">
        <v>4454135</v>
      </c>
      <c r="E21">
        <v>1998</v>
      </c>
      <c r="F21" s="1">
        <f t="shared" si="0"/>
        <v>4.454135</v>
      </c>
      <c r="R21">
        <f t="shared" si="1"/>
        <v>1998</v>
      </c>
      <c r="S21" s="17">
        <f t="shared" si="2"/>
        <v>4454.1350000000002</v>
      </c>
      <c r="T21" s="17">
        <f t="shared" si="11"/>
        <v>6540.8942857142856</v>
      </c>
      <c r="U21" s="17">
        <f t="shared" si="12"/>
        <v>6955.4535714285721</v>
      </c>
      <c r="V21" s="17">
        <f t="shared" si="13"/>
        <v>-2501.3185714285719</v>
      </c>
      <c r="W21" s="17">
        <f t="shared" si="14"/>
        <v>6256594.5957734715</v>
      </c>
      <c r="Z21">
        <f t="shared" si="3"/>
        <v>1998</v>
      </c>
      <c r="AA21" s="17">
        <f t="shared" si="4"/>
        <v>4454.1350000000002</v>
      </c>
      <c r="AB21" s="17">
        <f t="shared" si="9"/>
        <v>6055.4516000000003</v>
      </c>
      <c r="AC21" s="17">
        <f t="shared" si="10"/>
        <v>6912.2161999999998</v>
      </c>
      <c r="AD21" s="17">
        <f t="shared" si="15"/>
        <v>-2458.0811999999996</v>
      </c>
      <c r="AE21" s="17">
        <f t="shared" si="16"/>
        <v>6042163.185793438</v>
      </c>
      <c r="AH21">
        <f t="shared" si="5"/>
        <v>1998</v>
      </c>
      <c r="AI21" s="17">
        <f t="shared" si="6"/>
        <v>4454.1350000000002</v>
      </c>
      <c r="AJ21" s="17">
        <f t="shared" si="7"/>
        <v>5592.5535</v>
      </c>
      <c r="AK21" s="17">
        <f t="shared" si="8"/>
        <v>6455.7807499999999</v>
      </c>
      <c r="AL21" s="17">
        <f t="shared" si="17"/>
        <v>-2001.6457499999997</v>
      </c>
      <c r="AM21" s="17">
        <f t="shared" si="18"/>
        <v>4006585.7084930614</v>
      </c>
    </row>
    <row r="22" spans="3:39" x14ac:dyDescent="0.2">
      <c r="C22">
        <v>22</v>
      </c>
      <c r="D22" s="2">
        <v>8887769</v>
      </c>
      <c r="E22">
        <v>1999</v>
      </c>
      <c r="F22" s="1">
        <f t="shared" si="0"/>
        <v>8.8877690000000005</v>
      </c>
      <c r="R22">
        <f t="shared" si="1"/>
        <v>1999</v>
      </c>
      <c r="S22" s="17">
        <f t="shared" si="2"/>
        <v>8887.7690000000002</v>
      </c>
      <c r="T22" s="17">
        <f t="shared" si="11"/>
        <v>6843.2835714285711</v>
      </c>
      <c r="U22" s="17">
        <f t="shared" si="12"/>
        <v>6540.8942857142856</v>
      </c>
      <c r="V22" s="17">
        <f t="shared" si="13"/>
        <v>2346.8747142857146</v>
      </c>
      <c r="W22" s="17">
        <f t="shared" si="14"/>
        <v>5507820.9245536542</v>
      </c>
      <c r="Z22">
        <f t="shared" si="3"/>
        <v>1999</v>
      </c>
      <c r="AA22" s="17">
        <f t="shared" si="4"/>
        <v>8887.7690000000002</v>
      </c>
      <c r="AB22" s="17">
        <f t="shared" si="9"/>
        <v>6251.5965999999999</v>
      </c>
      <c r="AC22" s="17">
        <f t="shared" si="10"/>
        <v>6055.4516000000003</v>
      </c>
      <c r="AD22" s="17">
        <f t="shared" si="15"/>
        <v>2832.3173999999999</v>
      </c>
      <c r="AE22" s="17">
        <f t="shared" si="16"/>
        <v>8022021.8543427596</v>
      </c>
      <c r="AH22">
        <f t="shared" si="5"/>
        <v>1999</v>
      </c>
      <c r="AI22" s="17">
        <f t="shared" si="6"/>
        <v>8887.7690000000002</v>
      </c>
      <c r="AJ22" s="17">
        <f t="shared" si="7"/>
        <v>6145.8435000000009</v>
      </c>
      <c r="AK22" s="17">
        <f t="shared" si="8"/>
        <v>5592.5535</v>
      </c>
      <c r="AL22" s="17">
        <f t="shared" si="17"/>
        <v>3295.2155000000002</v>
      </c>
      <c r="AM22" s="17">
        <f t="shared" si="18"/>
        <v>10858445.191440251</v>
      </c>
    </row>
    <row r="23" spans="3:39" x14ac:dyDescent="0.2">
      <c r="C23">
        <v>23</v>
      </c>
      <c r="D23" s="2">
        <v>5829907</v>
      </c>
      <c r="E23">
        <v>2000</v>
      </c>
      <c r="F23" s="1">
        <f t="shared" si="0"/>
        <v>5.8299070000000004</v>
      </c>
      <c r="R23">
        <f t="shared" si="1"/>
        <v>2000</v>
      </c>
      <c r="S23" s="17">
        <f t="shared" si="2"/>
        <v>5829.9070000000002</v>
      </c>
      <c r="T23" s="17">
        <f t="shared" si="11"/>
        <v>6427.8477142857146</v>
      </c>
      <c r="U23" s="17">
        <f t="shared" si="12"/>
        <v>6843.2835714285711</v>
      </c>
      <c r="V23" s="17">
        <f t="shared" si="13"/>
        <v>-1013.376571428571</v>
      </c>
      <c r="W23" s="17">
        <f t="shared" si="14"/>
        <v>1026932.0755203256</v>
      </c>
      <c r="Z23">
        <f t="shared" si="3"/>
        <v>2000</v>
      </c>
      <c r="AA23" s="17">
        <f t="shared" si="4"/>
        <v>5829.9070000000002</v>
      </c>
      <c r="AB23" s="17">
        <f t="shared" si="9"/>
        <v>6082.6562000000004</v>
      </c>
      <c r="AC23" s="17">
        <f t="shared" si="10"/>
        <v>6251.5965999999999</v>
      </c>
      <c r="AD23" s="17">
        <f t="shared" si="15"/>
        <v>-421.6895999999997</v>
      </c>
      <c r="AE23" s="17">
        <f t="shared" si="16"/>
        <v>177822.11874815976</v>
      </c>
      <c r="AH23">
        <f t="shared" si="5"/>
        <v>2000</v>
      </c>
      <c r="AI23" s="17">
        <f t="shared" si="6"/>
        <v>5829.9070000000002</v>
      </c>
      <c r="AJ23" s="17">
        <f t="shared" si="7"/>
        <v>6899.2060000000001</v>
      </c>
      <c r="AK23" s="17">
        <f t="shared" si="8"/>
        <v>6145.8435000000009</v>
      </c>
      <c r="AL23" s="17">
        <f t="shared" si="17"/>
        <v>-315.93650000000071</v>
      </c>
      <c r="AM23" s="17">
        <f t="shared" si="18"/>
        <v>99815.872032250452</v>
      </c>
    </row>
    <row r="24" spans="3:39" x14ac:dyDescent="0.2">
      <c r="C24">
        <v>24</v>
      </c>
      <c r="D24" s="2">
        <v>7522047</v>
      </c>
      <c r="E24">
        <v>2001</v>
      </c>
      <c r="F24" s="1">
        <f t="shared" si="0"/>
        <v>7.5220469999999997</v>
      </c>
      <c r="R24">
        <f t="shared" si="1"/>
        <v>2001</v>
      </c>
      <c r="S24" s="17">
        <f t="shared" si="2"/>
        <v>7522.0469999999996</v>
      </c>
      <c r="T24" s="17">
        <f t="shared" si="11"/>
        <v>6372.8481428571422</v>
      </c>
      <c r="U24" s="17">
        <f t="shared" si="12"/>
        <v>6427.8477142857146</v>
      </c>
      <c r="V24" s="17">
        <f t="shared" si="13"/>
        <v>1094.199285714285</v>
      </c>
      <c r="W24" s="17">
        <f t="shared" si="14"/>
        <v>1197272.0768576516</v>
      </c>
      <c r="Z24">
        <f t="shared" si="3"/>
        <v>2001</v>
      </c>
      <c r="AA24" s="17">
        <f t="shared" si="4"/>
        <v>7522.0469999999996</v>
      </c>
      <c r="AB24" s="17">
        <f t="shared" si="9"/>
        <v>7023.7741999999998</v>
      </c>
      <c r="AC24" s="17">
        <f t="shared" si="10"/>
        <v>6082.6562000000004</v>
      </c>
      <c r="AD24" s="17">
        <f t="shared" si="15"/>
        <v>1439.3907999999992</v>
      </c>
      <c r="AE24" s="17">
        <f t="shared" si="16"/>
        <v>2071845.8751246377</v>
      </c>
      <c r="AH24">
        <f t="shared" si="5"/>
        <v>2001</v>
      </c>
      <c r="AI24" s="17">
        <f t="shared" si="6"/>
        <v>7522.0469999999996</v>
      </c>
      <c r="AJ24" s="17">
        <f t="shared" si="7"/>
        <v>6673.4645</v>
      </c>
      <c r="AK24" s="17">
        <f t="shared" si="8"/>
        <v>6899.2060000000001</v>
      </c>
      <c r="AL24" s="17">
        <f t="shared" si="17"/>
        <v>622.84099999999944</v>
      </c>
      <c r="AM24" s="17">
        <f t="shared" si="18"/>
        <v>387930.91128099931</v>
      </c>
    </row>
    <row r="25" spans="3:39" x14ac:dyDescent="0.2">
      <c r="C25">
        <v>25</v>
      </c>
      <c r="D25" s="2">
        <v>6726997</v>
      </c>
      <c r="E25">
        <v>2002</v>
      </c>
      <c r="F25" s="1">
        <f t="shared" si="0"/>
        <v>6.7269969999999999</v>
      </c>
      <c r="R25">
        <f t="shared" si="1"/>
        <v>2002</v>
      </c>
      <c r="S25" s="17">
        <f t="shared" si="2"/>
        <v>6726.9970000000003</v>
      </c>
      <c r="T25" s="17">
        <f t="shared" si="11"/>
        <v>6380.3321428571435</v>
      </c>
      <c r="U25" s="17">
        <f t="shared" si="12"/>
        <v>6372.8481428571422</v>
      </c>
      <c r="V25" s="17">
        <f t="shared" si="13"/>
        <v>354.14885714285811</v>
      </c>
      <c r="W25" s="17">
        <f t="shared" si="14"/>
        <v>125421.41301559252</v>
      </c>
      <c r="Z25">
        <f t="shared" si="3"/>
        <v>2002</v>
      </c>
      <c r="AA25" s="17">
        <f t="shared" si="4"/>
        <v>6726.9970000000003</v>
      </c>
      <c r="AB25" s="17">
        <f t="shared" si="9"/>
        <v>6684.1710000000003</v>
      </c>
      <c r="AC25" s="17">
        <f t="shared" si="10"/>
        <v>7023.7741999999998</v>
      </c>
      <c r="AD25" s="17">
        <f t="shared" si="15"/>
        <v>-296.77719999999954</v>
      </c>
      <c r="AE25" s="17">
        <f t="shared" si="16"/>
        <v>88076.70643983972</v>
      </c>
      <c r="AH25">
        <f t="shared" si="5"/>
        <v>2002</v>
      </c>
      <c r="AI25" s="17">
        <f t="shared" si="6"/>
        <v>6726.9970000000003</v>
      </c>
      <c r="AJ25" s="17">
        <f t="shared" si="7"/>
        <v>7241.6799999999994</v>
      </c>
      <c r="AK25" s="17">
        <f t="shared" si="8"/>
        <v>6673.4645</v>
      </c>
      <c r="AL25" s="17">
        <f t="shared" si="17"/>
        <v>53.532500000000255</v>
      </c>
      <c r="AM25" s="17">
        <f t="shared" si="18"/>
        <v>2865.7285562500274</v>
      </c>
    </row>
    <row r="26" spans="3:39" x14ac:dyDescent="0.2">
      <c r="C26">
        <v>26</v>
      </c>
      <c r="D26" s="2">
        <v>6149235</v>
      </c>
      <c r="E26">
        <v>2003</v>
      </c>
      <c r="F26" s="1">
        <f t="shared" si="0"/>
        <v>6.149235</v>
      </c>
      <c r="R26">
        <f t="shared" si="1"/>
        <v>2003</v>
      </c>
      <c r="S26" s="17">
        <f t="shared" si="2"/>
        <v>6149.2349999999997</v>
      </c>
      <c r="T26" s="17">
        <f t="shared" si="11"/>
        <v>6856.4432857142865</v>
      </c>
      <c r="U26" s="17">
        <f t="shared" si="12"/>
        <v>6380.3321428571435</v>
      </c>
      <c r="V26" s="17">
        <f t="shared" si="13"/>
        <v>-231.09714285714381</v>
      </c>
      <c r="W26" s="17">
        <f t="shared" si="14"/>
        <v>53405.889436735131</v>
      </c>
      <c r="Z26">
        <f t="shared" si="3"/>
        <v>2003</v>
      </c>
      <c r="AA26" s="17">
        <f t="shared" si="4"/>
        <v>6149.2349999999997</v>
      </c>
      <c r="AB26" s="17">
        <f t="shared" si="9"/>
        <v>7023.1909999999989</v>
      </c>
      <c r="AC26" s="17">
        <f t="shared" si="10"/>
        <v>6684.1710000000003</v>
      </c>
      <c r="AD26" s="17">
        <f t="shared" si="15"/>
        <v>-534.9360000000006</v>
      </c>
      <c r="AE26" s="17">
        <f t="shared" si="16"/>
        <v>286156.52409600065</v>
      </c>
      <c r="AH26">
        <f t="shared" si="5"/>
        <v>2003</v>
      </c>
      <c r="AI26" s="17">
        <f t="shared" si="6"/>
        <v>6149.2349999999997</v>
      </c>
      <c r="AJ26" s="17">
        <f t="shared" si="7"/>
        <v>6557.0465000000004</v>
      </c>
      <c r="AK26" s="17">
        <f t="shared" si="8"/>
        <v>7241.6799999999994</v>
      </c>
      <c r="AL26" s="17">
        <f t="shared" si="17"/>
        <v>-1092.4449999999997</v>
      </c>
      <c r="AM26" s="17">
        <f t="shared" si="18"/>
        <v>1193436.0780249995</v>
      </c>
    </row>
    <row r="27" spans="3:39" x14ac:dyDescent="0.2">
      <c r="C27">
        <v>27</v>
      </c>
      <c r="D27" s="2">
        <v>8756727</v>
      </c>
      <c r="E27">
        <v>2004</v>
      </c>
      <c r="F27" s="1">
        <f t="shared" si="0"/>
        <v>8.7567269999999997</v>
      </c>
      <c r="R27">
        <f t="shared" si="1"/>
        <v>2004</v>
      </c>
      <c r="S27" s="17">
        <f t="shared" si="2"/>
        <v>8756.7270000000008</v>
      </c>
      <c r="T27" s="17">
        <f t="shared" si="11"/>
        <v>6903.8310000000001</v>
      </c>
      <c r="U27" s="17">
        <f t="shared" si="12"/>
        <v>6856.4432857142865</v>
      </c>
      <c r="V27" s="17">
        <f t="shared" si="13"/>
        <v>1900.2837142857143</v>
      </c>
      <c r="W27" s="17">
        <f t="shared" si="14"/>
        <v>3611078.1947795101</v>
      </c>
      <c r="Z27">
        <f t="shared" si="3"/>
        <v>2004</v>
      </c>
      <c r="AA27" s="17">
        <f t="shared" si="4"/>
        <v>8756.7270000000008</v>
      </c>
      <c r="AB27" s="17">
        <f t="shared" si="9"/>
        <v>6996.9826000000003</v>
      </c>
      <c r="AC27" s="17">
        <f t="shared" si="10"/>
        <v>7023.1909999999989</v>
      </c>
      <c r="AD27" s="17">
        <f t="shared" si="15"/>
        <v>1733.5360000000019</v>
      </c>
      <c r="AE27" s="17">
        <f t="shared" si="16"/>
        <v>3005147.0632960065</v>
      </c>
      <c r="AH27">
        <f t="shared" si="5"/>
        <v>2004</v>
      </c>
      <c r="AI27" s="17">
        <f t="shared" si="6"/>
        <v>8756.7270000000008</v>
      </c>
      <c r="AJ27" s="17">
        <f t="shared" si="7"/>
        <v>7288.7515000000003</v>
      </c>
      <c r="AK27" s="17">
        <f t="shared" si="8"/>
        <v>6557.0465000000004</v>
      </c>
      <c r="AL27" s="17">
        <f t="shared" si="17"/>
        <v>2199.6805000000004</v>
      </c>
      <c r="AM27" s="17">
        <f t="shared" si="18"/>
        <v>4838594.3020802513</v>
      </c>
    </row>
    <row r="28" spans="3:39" x14ac:dyDescent="0.2">
      <c r="C28">
        <v>28</v>
      </c>
      <c r="D28" s="2">
        <v>7035165</v>
      </c>
      <c r="E28">
        <v>2005</v>
      </c>
      <c r="F28" s="1">
        <f t="shared" si="0"/>
        <v>7.0351650000000001</v>
      </c>
      <c r="R28">
        <f t="shared" si="1"/>
        <v>2005</v>
      </c>
      <c r="S28" s="17">
        <f t="shared" si="2"/>
        <v>7035.165</v>
      </c>
      <c r="T28" s="17">
        <f t="shared" si="11"/>
        <v>7272.5495714285707</v>
      </c>
      <c r="U28" s="17">
        <f t="shared" si="12"/>
        <v>6903.8310000000001</v>
      </c>
      <c r="V28" s="17">
        <f t="shared" si="13"/>
        <v>131.33399999999983</v>
      </c>
      <c r="W28" s="17">
        <f t="shared" si="14"/>
        <v>17248.619555999958</v>
      </c>
      <c r="Z28">
        <f t="shared" si="3"/>
        <v>2005</v>
      </c>
      <c r="AA28" s="17">
        <f t="shared" si="4"/>
        <v>7035.165</v>
      </c>
      <c r="AB28" s="17">
        <f t="shared" si="9"/>
        <v>7238.0342000000001</v>
      </c>
      <c r="AC28" s="17">
        <f t="shared" si="10"/>
        <v>6996.9826000000003</v>
      </c>
      <c r="AD28" s="17">
        <f t="shared" si="15"/>
        <v>38.182399999999689</v>
      </c>
      <c r="AE28" s="17">
        <f t="shared" si="16"/>
        <v>1457.8956697599763</v>
      </c>
      <c r="AH28">
        <f t="shared" si="5"/>
        <v>2005</v>
      </c>
      <c r="AI28" s="17">
        <f t="shared" si="6"/>
        <v>7035.165</v>
      </c>
      <c r="AJ28" s="17">
        <f t="shared" si="7"/>
        <v>7167.0310000000009</v>
      </c>
      <c r="AK28" s="17">
        <f t="shared" si="8"/>
        <v>7288.7515000000003</v>
      </c>
      <c r="AL28" s="17">
        <f t="shared" si="17"/>
        <v>-253.58650000000034</v>
      </c>
      <c r="AM28" s="17">
        <f t="shared" si="18"/>
        <v>64306.112982250175</v>
      </c>
    </row>
    <row r="29" spans="3:39" x14ac:dyDescent="0.2">
      <c r="C29">
        <v>29</v>
      </c>
      <c r="D29" s="2">
        <v>5719639</v>
      </c>
      <c r="E29">
        <v>2006</v>
      </c>
      <c r="F29" s="1">
        <f t="shared" si="0"/>
        <v>5.7196389999999999</v>
      </c>
      <c r="R29">
        <f t="shared" si="1"/>
        <v>2006</v>
      </c>
      <c r="S29" s="17">
        <f t="shared" si="2"/>
        <v>5719.6390000000001</v>
      </c>
      <c r="T29" s="17">
        <f t="shared" si="11"/>
        <v>6819.9595714285724</v>
      </c>
      <c r="U29" s="17">
        <f t="shared" si="12"/>
        <v>7272.5495714285707</v>
      </c>
      <c r="V29" s="17">
        <f t="shared" si="13"/>
        <v>-1552.9105714285706</v>
      </c>
      <c r="W29" s="17">
        <f t="shared" si="14"/>
        <v>2411531.2428546096</v>
      </c>
      <c r="Z29">
        <f t="shared" si="3"/>
        <v>2006</v>
      </c>
      <c r="AA29" s="17">
        <f t="shared" si="4"/>
        <v>5719.6390000000001</v>
      </c>
      <c r="AB29" s="17">
        <f t="shared" si="9"/>
        <v>6877.5526000000009</v>
      </c>
      <c r="AC29" s="17">
        <f t="shared" si="10"/>
        <v>7238.0342000000001</v>
      </c>
      <c r="AD29" s="17">
        <f t="shared" si="15"/>
        <v>-1518.3951999999999</v>
      </c>
      <c r="AE29" s="17">
        <f t="shared" si="16"/>
        <v>2305523.9833830399</v>
      </c>
      <c r="AH29">
        <f t="shared" si="5"/>
        <v>2006</v>
      </c>
      <c r="AI29" s="17">
        <f t="shared" si="6"/>
        <v>5719.6390000000001</v>
      </c>
      <c r="AJ29" s="17">
        <f t="shared" si="7"/>
        <v>6915.1914999999999</v>
      </c>
      <c r="AK29" s="17">
        <f t="shared" si="8"/>
        <v>7167.0310000000009</v>
      </c>
      <c r="AL29" s="17">
        <f t="shared" si="17"/>
        <v>-1447.3920000000007</v>
      </c>
      <c r="AM29" s="17">
        <f t="shared" si="18"/>
        <v>2094943.6016640021</v>
      </c>
    </row>
    <row r="30" spans="3:39" x14ac:dyDescent="0.2">
      <c r="C30">
        <v>30</v>
      </c>
      <c r="D30" s="2">
        <v>3355066</v>
      </c>
      <c r="E30">
        <v>2007</v>
      </c>
      <c r="F30" s="1">
        <f t="shared" si="0"/>
        <v>3.3550659999999999</v>
      </c>
      <c r="R30">
        <f t="shared" si="1"/>
        <v>2007</v>
      </c>
      <c r="S30" s="17">
        <f t="shared" si="2"/>
        <v>3355.0659999999998</v>
      </c>
      <c r="T30" s="17">
        <f t="shared" si="11"/>
        <v>6466.4108571428578</v>
      </c>
      <c r="U30" s="17">
        <f t="shared" si="12"/>
        <v>6819.9595714285724</v>
      </c>
      <c r="V30" s="17">
        <f t="shared" si="13"/>
        <v>-3464.8935714285726</v>
      </c>
      <c r="W30" s="17">
        <f t="shared" si="14"/>
        <v>12005487.46132705</v>
      </c>
      <c r="Z30">
        <f t="shared" si="3"/>
        <v>2007</v>
      </c>
      <c r="AA30" s="17">
        <f t="shared" si="4"/>
        <v>3355.0659999999998</v>
      </c>
      <c r="AB30" s="17">
        <f t="shared" si="9"/>
        <v>6203.1664000000001</v>
      </c>
      <c r="AC30" s="17">
        <f t="shared" si="10"/>
        <v>6877.5526000000009</v>
      </c>
      <c r="AD30" s="17">
        <f t="shared" si="15"/>
        <v>-3522.4866000000011</v>
      </c>
      <c r="AE30" s="17">
        <f t="shared" si="16"/>
        <v>12407911.847179567</v>
      </c>
      <c r="AH30">
        <f t="shared" si="5"/>
        <v>2007</v>
      </c>
      <c r="AI30" s="17">
        <f t="shared" si="6"/>
        <v>3355.0659999999998</v>
      </c>
      <c r="AJ30" s="17">
        <f t="shared" si="7"/>
        <v>6216.6492499999995</v>
      </c>
      <c r="AK30" s="17">
        <f t="shared" si="8"/>
        <v>6915.1914999999999</v>
      </c>
      <c r="AL30" s="17">
        <f t="shared" si="17"/>
        <v>-3560.1255000000001</v>
      </c>
      <c r="AM30" s="17">
        <f t="shared" si="18"/>
        <v>12674493.57575025</v>
      </c>
    </row>
    <row r="31" spans="3:39" x14ac:dyDescent="0.2">
      <c r="C31">
        <v>31</v>
      </c>
      <c r="D31" s="2">
        <v>4476920</v>
      </c>
      <c r="E31">
        <v>2008</v>
      </c>
      <c r="F31" s="1">
        <f t="shared" si="0"/>
        <v>4.4769199999999998</v>
      </c>
      <c r="R31">
        <f t="shared" si="1"/>
        <v>2008</v>
      </c>
      <c r="S31" s="17">
        <f t="shared" si="2"/>
        <v>4476.92</v>
      </c>
      <c r="T31" s="17">
        <f t="shared" si="11"/>
        <v>6031.3927142857146</v>
      </c>
      <c r="U31" s="17">
        <f t="shared" si="12"/>
        <v>6466.4108571428578</v>
      </c>
      <c r="V31" s="17">
        <f t="shared" si="13"/>
        <v>-1989.4908571428577</v>
      </c>
      <c r="W31" s="17">
        <f t="shared" si="14"/>
        <v>3958073.870655023</v>
      </c>
      <c r="Z31">
        <f t="shared" si="3"/>
        <v>2008</v>
      </c>
      <c r="AA31" s="17">
        <f t="shared" si="4"/>
        <v>4476.92</v>
      </c>
      <c r="AB31" s="17">
        <f t="shared" si="9"/>
        <v>5868.7034000000003</v>
      </c>
      <c r="AC31" s="17">
        <f t="shared" si="10"/>
        <v>6203.1664000000001</v>
      </c>
      <c r="AD31" s="17">
        <f t="shared" si="15"/>
        <v>-1726.2464</v>
      </c>
      <c r="AE31" s="17">
        <f t="shared" si="16"/>
        <v>2979926.6335129598</v>
      </c>
      <c r="AH31">
        <f t="shared" si="5"/>
        <v>2008</v>
      </c>
      <c r="AI31" s="17">
        <f t="shared" si="6"/>
        <v>4476.92</v>
      </c>
      <c r="AJ31" s="17">
        <f t="shared" si="7"/>
        <v>5146.6975000000002</v>
      </c>
      <c r="AK31" s="17">
        <f t="shared" si="8"/>
        <v>6216.6492499999995</v>
      </c>
      <c r="AL31" s="17">
        <f t="shared" si="17"/>
        <v>-1739.7292499999994</v>
      </c>
      <c r="AM31" s="17">
        <f t="shared" si="18"/>
        <v>3026657.8633055603</v>
      </c>
    </row>
    <row r="32" spans="3:39" x14ac:dyDescent="0.2">
      <c r="C32">
        <v>32</v>
      </c>
      <c r="D32" s="2">
        <v>4182284</v>
      </c>
      <c r="E32">
        <v>2009</v>
      </c>
      <c r="F32" s="1">
        <f t="shared" si="0"/>
        <v>4.1822840000000001</v>
      </c>
      <c r="R32">
        <f t="shared" si="1"/>
        <v>2009</v>
      </c>
      <c r="S32" s="17">
        <f t="shared" si="2"/>
        <v>4182.2839999999997</v>
      </c>
      <c r="T32" s="17">
        <f t="shared" si="11"/>
        <v>5667.8622857142855</v>
      </c>
      <c r="U32" s="17">
        <f t="shared" si="12"/>
        <v>6031.3927142857146</v>
      </c>
      <c r="V32" s="17">
        <f t="shared" si="13"/>
        <v>-1849.108714285715</v>
      </c>
      <c r="W32" s="17">
        <f t="shared" si="14"/>
        <v>3419203.03724737</v>
      </c>
      <c r="Z32">
        <f t="shared" si="3"/>
        <v>2009</v>
      </c>
      <c r="AA32" s="17">
        <f t="shared" si="4"/>
        <v>4182.2839999999997</v>
      </c>
      <c r="AB32" s="17">
        <f t="shared" si="9"/>
        <v>4953.8148000000001</v>
      </c>
      <c r="AC32" s="17">
        <f t="shared" si="10"/>
        <v>5868.7034000000003</v>
      </c>
      <c r="AD32" s="17">
        <f t="shared" si="15"/>
        <v>-1686.4194000000007</v>
      </c>
      <c r="AE32" s="17">
        <f t="shared" si="16"/>
        <v>2844010.3926963625</v>
      </c>
      <c r="AH32">
        <f t="shared" si="5"/>
        <v>2009</v>
      </c>
      <c r="AI32" s="17">
        <f t="shared" si="6"/>
        <v>4182.2839999999997</v>
      </c>
      <c r="AJ32" s="17">
        <f t="shared" si="7"/>
        <v>4433.4772499999999</v>
      </c>
      <c r="AK32" s="17">
        <f t="shared" si="8"/>
        <v>5146.6975000000002</v>
      </c>
      <c r="AL32" s="17">
        <f t="shared" si="17"/>
        <v>-964.41350000000057</v>
      </c>
      <c r="AM32" s="17">
        <f t="shared" si="18"/>
        <v>930093.39898225106</v>
      </c>
    </row>
    <row r="33" spans="3:39" x14ac:dyDescent="0.2">
      <c r="C33">
        <v>33</v>
      </c>
      <c r="D33" s="2">
        <v>4397214</v>
      </c>
      <c r="E33">
        <v>2010</v>
      </c>
      <c r="F33" s="1">
        <f t="shared" si="0"/>
        <v>4.397214</v>
      </c>
      <c r="R33">
        <f t="shared" si="1"/>
        <v>2010</v>
      </c>
      <c r="S33" s="17">
        <f t="shared" si="2"/>
        <v>4397.2139999999999</v>
      </c>
      <c r="T33" s="17">
        <f t="shared" si="11"/>
        <v>5417.5735714285711</v>
      </c>
      <c r="U33" s="17">
        <f t="shared" si="12"/>
        <v>5667.8622857142855</v>
      </c>
      <c r="V33" s="17">
        <f t="shared" si="13"/>
        <v>-1270.6482857142855</v>
      </c>
      <c r="W33" s="17">
        <f t="shared" si="14"/>
        <v>1614547.0659886526</v>
      </c>
      <c r="Z33">
        <f t="shared" si="3"/>
        <v>2010</v>
      </c>
      <c r="AA33" s="17">
        <f t="shared" si="4"/>
        <v>4397.2139999999999</v>
      </c>
      <c r="AB33" s="17">
        <f t="shared" si="9"/>
        <v>4426.2245999999996</v>
      </c>
      <c r="AC33" s="17">
        <f t="shared" si="10"/>
        <v>4953.8148000000001</v>
      </c>
      <c r="AD33" s="17">
        <f t="shared" si="15"/>
        <v>-556.60080000000016</v>
      </c>
      <c r="AE33" s="17">
        <f t="shared" si="16"/>
        <v>309804.45056064019</v>
      </c>
      <c r="AH33">
        <f t="shared" si="5"/>
        <v>2010</v>
      </c>
      <c r="AI33" s="17">
        <f t="shared" si="6"/>
        <v>4397.2139999999999</v>
      </c>
      <c r="AJ33" s="17">
        <f t="shared" si="7"/>
        <v>4102.8710000000001</v>
      </c>
      <c r="AK33" s="17">
        <f t="shared" si="8"/>
        <v>4433.4772499999999</v>
      </c>
      <c r="AL33" s="17">
        <f t="shared" si="17"/>
        <v>-36.263249999999971</v>
      </c>
      <c r="AM33" s="17">
        <f t="shared" si="18"/>
        <v>1315.023300562498</v>
      </c>
    </row>
    <row r="34" spans="3:39" x14ac:dyDescent="0.2">
      <c r="C34">
        <v>34</v>
      </c>
      <c r="D34" s="2">
        <v>3431073</v>
      </c>
      <c r="E34">
        <v>2011</v>
      </c>
      <c r="F34" s="1">
        <f t="shared" si="0"/>
        <v>3.431073</v>
      </c>
      <c r="R34">
        <f t="shared" si="1"/>
        <v>2011</v>
      </c>
      <c r="S34" s="17">
        <f t="shared" si="2"/>
        <v>3431.0729999999999</v>
      </c>
      <c r="T34" s="17">
        <f t="shared" si="11"/>
        <v>4656.7658571428574</v>
      </c>
      <c r="U34" s="17">
        <f t="shared" si="12"/>
        <v>5417.5735714285711</v>
      </c>
      <c r="V34" s="17">
        <f t="shared" si="13"/>
        <v>-1986.5005714285712</v>
      </c>
      <c r="W34" s="17">
        <f t="shared" si="14"/>
        <v>3946184.5202860399</v>
      </c>
      <c r="Z34">
        <f t="shared" si="3"/>
        <v>2011</v>
      </c>
      <c r="AA34" s="17">
        <f t="shared" si="4"/>
        <v>3431.0729999999999</v>
      </c>
      <c r="AB34" s="17">
        <f t="shared" si="9"/>
        <v>3968.5114000000003</v>
      </c>
      <c r="AC34" s="17">
        <f t="shared" si="10"/>
        <v>4426.2245999999996</v>
      </c>
      <c r="AD34" s="17">
        <f t="shared" si="15"/>
        <v>-995.15159999999969</v>
      </c>
      <c r="AE34" s="17">
        <f t="shared" si="16"/>
        <v>990326.70698255941</v>
      </c>
      <c r="AH34">
        <f t="shared" si="5"/>
        <v>2011</v>
      </c>
      <c r="AI34" s="17">
        <f t="shared" si="6"/>
        <v>3431.0729999999999</v>
      </c>
      <c r="AJ34" s="17">
        <f t="shared" si="7"/>
        <v>4121.8727499999995</v>
      </c>
      <c r="AK34" s="17">
        <f t="shared" si="8"/>
        <v>4102.8710000000001</v>
      </c>
      <c r="AL34" s="17">
        <f t="shared" si="17"/>
        <v>-671.79800000000023</v>
      </c>
      <c r="AM34" s="17">
        <f t="shared" si="18"/>
        <v>451312.55280400033</v>
      </c>
    </row>
    <row r="35" spans="3:39" x14ac:dyDescent="0.2">
      <c r="C35">
        <v>35</v>
      </c>
      <c r="D35" s="2">
        <v>3885226</v>
      </c>
      <c r="E35">
        <v>2012</v>
      </c>
      <c r="F35" s="1">
        <f t="shared" si="0"/>
        <v>3.8852259999999998</v>
      </c>
      <c r="R35">
        <f t="shared" si="1"/>
        <v>2012</v>
      </c>
      <c r="S35" s="17">
        <f t="shared" si="2"/>
        <v>3885.2260000000001</v>
      </c>
      <c r="T35" s="17">
        <f t="shared" si="11"/>
        <v>4206.7745714285711</v>
      </c>
      <c r="U35" s="17">
        <f t="shared" si="12"/>
        <v>4656.7658571428574</v>
      </c>
      <c r="V35" s="17">
        <f t="shared" si="13"/>
        <v>-771.53985714285727</v>
      </c>
      <c r="W35" s="17">
        <f t="shared" si="14"/>
        <v>595273.75116002059</v>
      </c>
      <c r="Z35">
        <f t="shared" si="3"/>
        <v>2012</v>
      </c>
      <c r="AA35" s="17">
        <f t="shared" si="4"/>
        <v>3885.2260000000001</v>
      </c>
      <c r="AB35" s="17">
        <f t="shared" si="9"/>
        <v>4074.5433999999996</v>
      </c>
      <c r="AC35" s="17">
        <f t="shared" si="10"/>
        <v>3968.5114000000003</v>
      </c>
      <c r="AD35" s="17">
        <f t="shared" si="15"/>
        <v>-83.285400000000209</v>
      </c>
      <c r="AE35" s="17">
        <f t="shared" si="16"/>
        <v>6936.4578531600346</v>
      </c>
      <c r="AH35">
        <f t="shared" si="5"/>
        <v>2012</v>
      </c>
      <c r="AI35" s="17">
        <f t="shared" si="6"/>
        <v>3885.2260000000001</v>
      </c>
      <c r="AJ35" s="17">
        <f t="shared" si="7"/>
        <v>3973.9492500000001</v>
      </c>
      <c r="AK35" s="17">
        <f t="shared" si="8"/>
        <v>4121.8727499999995</v>
      </c>
      <c r="AL35" s="17">
        <f t="shared" si="17"/>
        <v>-236.64674999999943</v>
      </c>
      <c r="AM35" s="17">
        <f t="shared" si="18"/>
        <v>56001.684285562231</v>
      </c>
    </row>
    <row r="36" spans="3:39" x14ac:dyDescent="0.2">
      <c r="R36">
        <f>R35+1</f>
        <v>2013</v>
      </c>
      <c r="U36" s="17">
        <f t="shared" si="12"/>
        <v>4206.7745714285711</v>
      </c>
      <c r="Z36">
        <f>R36</f>
        <v>2013</v>
      </c>
      <c r="AC36" s="17">
        <f t="shared" si="10"/>
        <v>4074.5433999999996</v>
      </c>
      <c r="AH36">
        <f>Z36</f>
        <v>2013</v>
      </c>
      <c r="AK36" s="17">
        <f t="shared" si="8"/>
        <v>3973.9492500000001</v>
      </c>
    </row>
    <row r="37" spans="3:39" x14ac:dyDescent="0.2">
      <c r="R37">
        <f>R36+1</f>
        <v>2014</v>
      </c>
      <c r="U37" s="17">
        <f t="shared" si="12"/>
        <v>4206.7745714285711</v>
      </c>
      <c r="Z37">
        <f>R37</f>
        <v>2014</v>
      </c>
      <c r="AC37" s="17">
        <f t="shared" si="10"/>
        <v>4074.5433999999996</v>
      </c>
      <c r="AH37">
        <f>Z37</f>
        <v>2014</v>
      </c>
      <c r="AK37" s="17">
        <f t="shared" si="8"/>
        <v>3973.9492500000001</v>
      </c>
    </row>
    <row r="38" spans="3:39" x14ac:dyDescent="0.2">
      <c r="R38">
        <f>R37+1</f>
        <v>2015</v>
      </c>
      <c r="U38" s="17">
        <f t="shared" si="12"/>
        <v>4206.7745714285711</v>
      </c>
      <c r="Z38">
        <f>R38</f>
        <v>2015</v>
      </c>
      <c r="AC38" s="17">
        <f t="shared" si="10"/>
        <v>4074.5433999999996</v>
      </c>
      <c r="AH38">
        <f>Z38</f>
        <v>2015</v>
      </c>
      <c r="AK38" s="17">
        <f t="shared" si="8"/>
        <v>3973.9492500000001</v>
      </c>
    </row>
    <row r="39" spans="3:39" x14ac:dyDescent="0.2">
      <c r="R39">
        <f>R38+1</f>
        <v>2016</v>
      </c>
      <c r="U39" s="17">
        <f t="shared" si="12"/>
        <v>4206.7745714285711</v>
      </c>
      <c r="Z39">
        <f>R39</f>
        <v>2016</v>
      </c>
      <c r="AC39" s="17">
        <f t="shared" si="10"/>
        <v>4074.5433999999996</v>
      </c>
      <c r="AH39">
        <f>Z39</f>
        <v>2016</v>
      </c>
      <c r="AK39" s="17">
        <f t="shared" si="8"/>
        <v>3973.9492500000001</v>
      </c>
    </row>
    <row r="60" spans="43:51" ht="13.5" thickBot="1" x14ac:dyDescent="0.25"/>
    <row r="61" spans="43:51" x14ac:dyDescent="0.2">
      <c r="AQ61" s="34"/>
      <c r="AR61" s="35"/>
      <c r="AS61" s="35"/>
      <c r="AT61" s="35"/>
      <c r="AU61" s="35"/>
      <c r="AV61" s="35"/>
      <c r="AW61" s="35"/>
      <c r="AX61" s="35"/>
      <c r="AY61" s="28"/>
    </row>
    <row r="62" spans="43:51" x14ac:dyDescent="0.2">
      <c r="AQ62" s="29"/>
      <c r="AR62" s="36"/>
      <c r="AS62" s="36"/>
      <c r="AT62" s="36"/>
      <c r="AU62" s="36"/>
      <c r="AV62" s="36"/>
      <c r="AW62" s="36"/>
      <c r="AX62" s="36"/>
      <c r="AY62" s="30"/>
    </row>
    <row r="63" spans="43:51" x14ac:dyDescent="0.2">
      <c r="AQ63" s="29"/>
      <c r="AR63" s="36"/>
      <c r="AS63" s="36"/>
      <c r="AT63" s="36"/>
      <c r="AU63" s="36"/>
      <c r="AV63" s="36"/>
      <c r="AW63" s="36"/>
      <c r="AX63" s="36"/>
      <c r="AY63" s="30"/>
    </row>
    <row r="64" spans="43:51" x14ac:dyDescent="0.2">
      <c r="AQ64" s="29"/>
      <c r="AR64" s="36"/>
      <c r="AS64" s="36"/>
      <c r="AT64" s="36"/>
      <c r="AU64" s="36"/>
      <c r="AV64" s="36"/>
      <c r="AW64" s="36"/>
      <c r="AX64" s="36"/>
      <c r="AY64" s="30"/>
    </row>
    <row r="65" spans="43:51" x14ac:dyDescent="0.2">
      <c r="AQ65" s="29"/>
      <c r="AR65" s="36"/>
      <c r="AS65" s="36"/>
      <c r="AT65" s="36"/>
      <c r="AU65" s="36"/>
      <c r="AV65" s="36"/>
      <c r="AW65" s="36"/>
      <c r="AX65" s="36"/>
      <c r="AY65" s="30"/>
    </row>
    <row r="66" spans="43:51" x14ac:dyDescent="0.2">
      <c r="AQ66" s="29"/>
      <c r="AR66" s="36"/>
      <c r="AS66" s="36"/>
      <c r="AT66" s="36"/>
      <c r="AU66" s="36"/>
      <c r="AV66" s="36"/>
      <c r="AW66" s="36"/>
      <c r="AX66" s="36"/>
      <c r="AY66" s="30"/>
    </row>
    <row r="67" spans="43:51" x14ac:dyDescent="0.2">
      <c r="AQ67" s="29"/>
      <c r="AR67" s="36"/>
      <c r="AS67" s="36"/>
      <c r="AT67" s="36"/>
      <c r="AU67" s="36"/>
      <c r="AV67" s="36"/>
      <c r="AW67" s="36"/>
      <c r="AX67" s="36"/>
      <c r="AY67" s="30"/>
    </row>
    <row r="68" spans="43:51" x14ac:dyDescent="0.2">
      <c r="AQ68" s="29"/>
      <c r="AR68" s="36"/>
      <c r="AS68" s="36"/>
      <c r="AT68" s="36"/>
      <c r="AU68" s="36"/>
      <c r="AV68" s="36"/>
      <c r="AW68" s="36"/>
      <c r="AX68" s="36"/>
      <c r="AY68" s="30"/>
    </row>
    <row r="69" spans="43:51" x14ac:dyDescent="0.2">
      <c r="AQ69" s="29"/>
      <c r="AR69" s="36"/>
      <c r="AS69" s="36"/>
      <c r="AT69" s="36"/>
      <c r="AU69" s="36"/>
      <c r="AV69" s="36"/>
      <c r="AW69" s="36"/>
      <c r="AX69" s="36"/>
      <c r="AY69" s="30"/>
    </row>
    <row r="70" spans="43:51" x14ac:dyDescent="0.2">
      <c r="AQ70" s="29"/>
      <c r="AR70" s="36"/>
      <c r="AS70" s="36"/>
      <c r="AT70" s="36"/>
      <c r="AU70" s="36"/>
      <c r="AV70" s="36"/>
      <c r="AW70" s="36"/>
      <c r="AX70" s="36"/>
      <c r="AY70" s="30"/>
    </row>
    <row r="71" spans="43:51" x14ac:dyDescent="0.2">
      <c r="AQ71" s="29"/>
      <c r="AR71" s="36"/>
      <c r="AS71" s="36"/>
      <c r="AT71" s="36"/>
      <c r="AU71" s="36"/>
      <c r="AV71" s="36"/>
      <c r="AW71" s="36"/>
      <c r="AX71" s="36"/>
      <c r="AY71" s="30"/>
    </row>
    <row r="72" spans="43:51" x14ac:dyDescent="0.2">
      <c r="AQ72" s="29"/>
      <c r="AR72" s="36"/>
      <c r="AS72" s="36"/>
      <c r="AT72" s="36"/>
      <c r="AU72" s="36"/>
      <c r="AV72" s="36"/>
      <c r="AW72" s="36"/>
      <c r="AX72" s="36"/>
      <c r="AY72" s="30"/>
    </row>
    <row r="73" spans="43:51" x14ac:dyDescent="0.2">
      <c r="AQ73" s="29"/>
      <c r="AR73" s="36"/>
      <c r="AS73" s="36"/>
      <c r="AT73" s="36"/>
      <c r="AU73" s="36"/>
      <c r="AV73" s="36"/>
      <c r="AW73" s="36"/>
      <c r="AX73" s="36"/>
      <c r="AY73" s="30"/>
    </row>
    <row r="74" spans="43:51" x14ac:dyDescent="0.2">
      <c r="AQ74" s="29"/>
      <c r="AR74" s="36"/>
      <c r="AS74" s="36"/>
      <c r="AT74" s="36"/>
      <c r="AU74" s="36"/>
      <c r="AV74" s="36"/>
      <c r="AW74" s="36"/>
      <c r="AX74" s="36"/>
      <c r="AY74" s="30"/>
    </row>
    <row r="75" spans="43:51" x14ac:dyDescent="0.2">
      <c r="AQ75" s="29"/>
      <c r="AR75" s="36"/>
      <c r="AS75" s="36"/>
      <c r="AT75" s="36"/>
      <c r="AU75" s="36"/>
      <c r="AV75" s="36"/>
      <c r="AW75" s="36"/>
      <c r="AX75" s="36"/>
      <c r="AY75" s="30"/>
    </row>
    <row r="76" spans="43:51" x14ac:dyDescent="0.2">
      <c r="AQ76" s="29"/>
      <c r="AR76" s="36"/>
      <c r="AS76" s="36"/>
      <c r="AT76" s="36"/>
      <c r="AU76" s="36"/>
      <c r="AV76" s="36"/>
      <c r="AW76" s="36"/>
      <c r="AX76" s="36"/>
      <c r="AY76" s="30"/>
    </row>
    <row r="77" spans="43:51" x14ac:dyDescent="0.2">
      <c r="AQ77" s="29"/>
      <c r="AR77" s="36"/>
      <c r="AS77" s="36"/>
      <c r="AT77" s="36"/>
      <c r="AU77" s="36"/>
      <c r="AV77" s="36"/>
      <c r="AW77" s="36"/>
      <c r="AX77" s="36"/>
      <c r="AY77" s="30"/>
    </row>
    <row r="78" spans="43:51" x14ac:dyDescent="0.2">
      <c r="AQ78" s="29"/>
      <c r="AR78" s="36"/>
      <c r="AS78" s="36"/>
      <c r="AT78" s="36"/>
      <c r="AU78" s="36"/>
      <c r="AV78" s="36"/>
      <c r="AW78" s="36"/>
      <c r="AX78" s="36"/>
      <c r="AY78" s="30"/>
    </row>
    <row r="79" spans="43:51" ht="13.5" thickBot="1" x14ac:dyDescent="0.25">
      <c r="AQ79" s="37"/>
      <c r="AR79" s="38"/>
      <c r="AS79" s="38"/>
      <c r="AT79" s="38"/>
      <c r="AU79" s="38"/>
      <c r="AV79" s="38"/>
      <c r="AW79" s="38"/>
      <c r="AX79" s="38"/>
      <c r="AY79" s="3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0"/>
  <sheetViews>
    <sheetView topLeftCell="K1" workbookViewId="0">
      <selection activeCell="R1" sqref="R1:W39"/>
    </sheetView>
  </sheetViews>
  <sheetFormatPr defaultRowHeight="12.75" x14ac:dyDescent="0.2"/>
  <cols>
    <col min="1" max="1" width="8" bestFit="1" customWidth="1"/>
    <col min="2" max="2" width="11.5703125" bestFit="1" customWidth="1"/>
    <col min="3" max="3" width="3.85546875" bestFit="1" customWidth="1"/>
    <col min="4" max="4" width="14" bestFit="1" customWidth="1"/>
    <col min="5" max="5" width="5" bestFit="1" customWidth="1"/>
    <col min="6" max="6" width="12.7109375" bestFit="1" customWidth="1"/>
    <col min="19" max="19" width="12.85546875" bestFit="1" customWidth="1"/>
    <col min="20" max="20" width="10.28515625" bestFit="1" customWidth="1"/>
    <col min="21" max="21" width="12.85546875" bestFit="1" customWidth="1"/>
    <col min="23" max="23" width="10.28515625" bestFit="1" customWidth="1"/>
    <col min="24" max="24" width="12.85546875" bestFit="1" customWidth="1"/>
    <col min="25" max="25" width="12" bestFit="1" customWidth="1"/>
  </cols>
  <sheetData>
    <row r="1" spans="1:35" ht="13.5" thickBot="1" x14ac:dyDescent="0.25">
      <c r="C1" s="14" t="s">
        <v>7</v>
      </c>
      <c r="D1" s="15" t="s">
        <v>33</v>
      </c>
      <c r="E1" s="14" t="s">
        <v>5</v>
      </c>
      <c r="F1" s="13" t="str">
        <f>IF(D3&gt;A3,B3,IF(D3&gt;A4,B4,B5))</f>
        <v>$ Millions</v>
      </c>
      <c r="Q1">
        <v>1000</v>
      </c>
      <c r="R1" s="34"/>
      <c r="S1" s="35"/>
      <c r="T1" s="35"/>
      <c r="U1" s="35"/>
      <c r="V1" s="35"/>
      <c r="W1" s="27">
        <v>4</v>
      </c>
      <c r="X1" s="36"/>
      <c r="Y1" s="36"/>
    </row>
    <row r="2" spans="1:35" s="9" customFormat="1" ht="25.5" x14ac:dyDescent="0.2">
      <c r="C2" s="9">
        <v>2</v>
      </c>
      <c r="D2" s="12" t="s">
        <v>32</v>
      </c>
      <c r="E2" s="11" t="s">
        <v>3</v>
      </c>
      <c r="F2" s="10" t="str">
        <f>TRIM(D2)</f>
        <v>General Sales</v>
      </c>
      <c r="R2" s="29" t="str">
        <f>E2</f>
        <v>Year</v>
      </c>
      <c r="S2" s="36" t="str">
        <f>F2</f>
        <v>General Sales</v>
      </c>
      <c r="T2" s="36" t="s">
        <v>31</v>
      </c>
      <c r="U2" s="219" t="s">
        <v>30</v>
      </c>
      <c r="V2" s="167" t="s">
        <v>29</v>
      </c>
      <c r="W2" s="168" t="s">
        <v>25</v>
      </c>
      <c r="X2" s="167"/>
      <c r="Y2" s="167"/>
    </row>
    <row r="3" spans="1:35" x14ac:dyDescent="0.2">
      <c r="A3" s="8">
        <v>1000000</v>
      </c>
      <c r="B3" s="7" t="s">
        <v>2</v>
      </c>
      <c r="C3">
        <v>3</v>
      </c>
      <c r="D3" s="2">
        <v>1142245558</v>
      </c>
      <c r="E3">
        <v>1980</v>
      </c>
      <c r="F3" s="1">
        <f t="shared" ref="F3:F35" si="0">IF(D3&gt;$A$3,D3/$A$3,IF(D3&gt;$A$4,D3/$A$4,D3))</f>
        <v>1142.2455580000001</v>
      </c>
      <c r="R3" s="29">
        <f t="shared" ref="R3:R35" si="1">E3</f>
        <v>1980</v>
      </c>
      <c r="S3" s="220">
        <f t="shared" ref="S3:S35" si="2">D3/$Q$1</f>
        <v>1142245.558</v>
      </c>
      <c r="T3" s="36"/>
      <c r="U3" s="36"/>
      <c r="V3" s="36"/>
      <c r="W3" s="30"/>
      <c r="X3" s="220">
        <f>AVERAGE(X11:X35)</f>
        <v>28.414714971428619</v>
      </c>
      <c r="Y3" s="220">
        <f>AVERAGE(Y11:Y35)</f>
        <v>32046.07957092132</v>
      </c>
    </row>
    <row r="4" spans="1:35" x14ac:dyDescent="0.2">
      <c r="A4" s="6">
        <v>1000</v>
      </c>
      <c r="B4" s="5" t="s">
        <v>1</v>
      </c>
      <c r="C4">
        <v>4</v>
      </c>
      <c r="D4" s="2">
        <v>1311348075</v>
      </c>
      <c r="E4">
        <v>1981</v>
      </c>
      <c r="F4" s="1">
        <f t="shared" si="0"/>
        <v>1311.3480750000001</v>
      </c>
      <c r="R4" s="29">
        <f t="shared" si="1"/>
        <v>1981</v>
      </c>
      <c r="S4" s="220">
        <f t="shared" si="2"/>
        <v>1311348.075</v>
      </c>
      <c r="T4" s="220">
        <f t="shared" ref="T4:T35" si="3">S4-S3</f>
        <v>169102.51699999999</v>
      </c>
      <c r="U4" s="36"/>
      <c r="V4" s="36"/>
      <c r="W4" s="30"/>
      <c r="X4" s="220"/>
      <c r="Y4" s="220">
        <f>SQRT(Y3)</f>
        <v>179.01418818328708</v>
      </c>
    </row>
    <row r="5" spans="1:35" x14ac:dyDescent="0.2">
      <c r="A5" s="4"/>
      <c r="B5" s="3" t="s">
        <v>0</v>
      </c>
      <c r="C5">
        <v>5</v>
      </c>
      <c r="D5" s="2">
        <v>1414855439</v>
      </c>
      <c r="E5">
        <v>1982</v>
      </c>
      <c r="F5" s="1">
        <f t="shared" si="0"/>
        <v>1414.8554389999999</v>
      </c>
      <c r="R5" s="29">
        <f t="shared" si="1"/>
        <v>1982</v>
      </c>
      <c r="S5" s="220">
        <f t="shared" si="2"/>
        <v>1414855.439</v>
      </c>
      <c r="T5" s="220">
        <f t="shared" si="3"/>
        <v>103507.36400000006</v>
      </c>
      <c r="U5" s="36"/>
      <c r="V5" s="36"/>
      <c r="W5" s="30"/>
      <c r="X5" s="36"/>
      <c r="Y5" s="36"/>
    </row>
    <row r="6" spans="1:35" x14ac:dyDescent="0.2">
      <c r="C6">
        <v>6</v>
      </c>
      <c r="D6" s="2">
        <v>1514818755</v>
      </c>
      <c r="E6">
        <v>1983</v>
      </c>
      <c r="F6" s="1">
        <f t="shared" si="0"/>
        <v>1514.818755</v>
      </c>
      <c r="R6" s="29">
        <f t="shared" si="1"/>
        <v>1983</v>
      </c>
      <c r="S6" s="220">
        <f t="shared" si="2"/>
        <v>1514818.7549999999</v>
      </c>
      <c r="T6" s="220">
        <f t="shared" si="3"/>
        <v>99963.315999999875</v>
      </c>
      <c r="U6" s="36"/>
      <c r="V6" s="36"/>
      <c r="W6" s="30"/>
      <c r="X6" s="36"/>
      <c r="Y6" s="36"/>
    </row>
    <row r="7" spans="1:35" x14ac:dyDescent="0.2">
      <c r="C7">
        <v>7</v>
      </c>
      <c r="D7" s="2">
        <v>1686320154</v>
      </c>
      <c r="E7">
        <v>1984</v>
      </c>
      <c r="F7" s="1">
        <f t="shared" si="0"/>
        <v>1686.320154</v>
      </c>
      <c r="R7" s="29">
        <f t="shared" si="1"/>
        <v>1984</v>
      </c>
      <c r="S7" s="220">
        <f t="shared" si="2"/>
        <v>1686320.1540000001</v>
      </c>
      <c r="T7" s="220">
        <f t="shared" si="3"/>
        <v>171501.39900000021</v>
      </c>
      <c r="U7" s="36"/>
      <c r="V7" s="36"/>
      <c r="W7" s="30"/>
      <c r="X7" s="36"/>
      <c r="Y7" s="36"/>
    </row>
    <row r="8" spans="1:35" x14ac:dyDescent="0.2">
      <c r="C8">
        <v>8</v>
      </c>
      <c r="D8" s="2">
        <v>1827790570</v>
      </c>
      <c r="E8">
        <v>1985</v>
      </c>
      <c r="F8" s="1">
        <f t="shared" si="0"/>
        <v>1827.7905699999999</v>
      </c>
      <c r="R8" s="29">
        <f t="shared" si="1"/>
        <v>1985</v>
      </c>
      <c r="S8" s="220">
        <f t="shared" si="2"/>
        <v>1827790.57</v>
      </c>
      <c r="T8" s="220">
        <f t="shared" si="3"/>
        <v>141470.41599999997</v>
      </c>
      <c r="U8" s="36"/>
      <c r="V8" s="36"/>
      <c r="W8" s="30"/>
      <c r="X8" s="36"/>
      <c r="Y8" s="36"/>
    </row>
    <row r="9" spans="1:35" x14ac:dyDescent="0.2">
      <c r="C9">
        <v>9</v>
      </c>
      <c r="D9" s="2">
        <v>1908646223</v>
      </c>
      <c r="E9">
        <v>1986</v>
      </c>
      <c r="F9" s="1">
        <f t="shared" si="0"/>
        <v>1908.646223</v>
      </c>
      <c r="R9" s="29">
        <f t="shared" si="1"/>
        <v>1986</v>
      </c>
      <c r="S9" s="220">
        <f t="shared" si="2"/>
        <v>1908646.223</v>
      </c>
      <c r="T9" s="220">
        <f t="shared" si="3"/>
        <v>80855.652999999933</v>
      </c>
      <c r="U9" s="36"/>
      <c r="V9" s="36"/>
      <c r="W9" s="30"/>
      <c r="X9" s="36"/>
      <c r="Y9" s="36"/>
    </row>
    <row r="10" spans="1:35" ht="13.5" thickBot="1" x14ac:dyDescent="0.25">
      <c r="C10">
        <v>10</v>
      </c>
      <c r="D10" s="2">
        <v>2044385886</v>
      </c>
      <c r="E10">
        <v>1987</v>
      </c>
      <c r="F10" s="1">
        <f t="shared" si="0"/>
        <v>2044.385886</v>
      </c>
      <c r="R10" s="29">
        <f t="shared" si="1"/>
        <v>1987</v>
      </c>
      <c r="S10" s="220">
        <f t="shared" si="2"/>
        <v>2044385.8859999999</v>
      </c>
      <c r="T10" s="220">
        <f t="shared" si="3"/>
        <v>135739.66299999994</v>
      </c>
      <c r="U10" s="220"/>
      <c r="V10" s="220"/>
      <c r="W10" s="221"/>
      <c r="X10" s="36"/>
      <c r="Y10" s="36"/>
    </row>
    <row r="11" spans="1:35" x14ac:dyDescent="0.2">
      <c r="C11">
        <v>11</v>
      </c>
      <c r="D11" s="2">
        <v>2222942087</v>
      </c>
      <c r="E11">
        <v>1988</v>
      </c>
      <c r="F11" s="1">
        <f t="shared" si="0"/>
        <v>2222.9420869999999</v>
      </c>
      <c r="H11" s="34"/>
      <c r="I11" s="35"/>
      <c r="J11" s="35"/>
      <c r="K11" s="35"/>
      <c r="L11" s="35"/>
      <c r="M11" s="35"/>
      <c r="N11" s="35"/>
      <c r="O11" s="28"/>
      <c r="R11" s="29">
        <f t="shared" si="1"/>
        <v>1988</v>
      </c>
      <c r="S11" s="220">
        <f t="shared" si="2"/>
        <v>2222942.0869999998</v>
      </c>
      <c r="T11" s="220">
        <f t="shared" si="3"/>
        <v>178556.20099999988</v>
      </c>
      <c r="U11" s="220">
        <f t="shared" ref="U11:U39" si="4">IF(S10="",U10+V10,AVERAGE(S4:S10))</f>
        <v>1672595.0145714285</v>
      </c>
      <c r="V11" s="220">
        <f t="shared" ref="V11:V39" si="5">IF(T10="",V10,AVERAGE(T4:T10))</f>
        <v>128877.18971428571</v>
      </c>
      <c r="W11" s="221">
        <f t="shared" ref="W11:W39" si="6">U11+W$1*V11</f>
        <v>2188103.7734285714</v>
      </c>
      <c r="X11" s="220">
        <f t="shared" ref="X11:X35" si="7">(S11-W11)/Q$1</f>
        <v>34.838313571428415</v>
      </c>
      <c r="Y11" s="220">
        <f t="shared" ref="Y11:Y35" si="8">X11^2</f>
        <v>1213.7080925011733</v>
      </c>
      <c r="AB11" s="34"/>
      <c r="AC11" s="35"/>
      <c r="AD11" s="35"/>
      <c r="AE11" s="35"/>
      <c r="AF11" s="35"/>
      <c r="AG11" s="35"/>
      <c r="AH11" s="35"/>
      <c r="AI11" s="28"/>
    </row>
    <row r="12" spans="1:35" x14ac:dyDescent="0.2">
      <c r="C12">
        <v>12</v>
      </c>
      <c r="D12" s="2">
        <v>2329942431</v>
      </c>
      <c r="E12">
        <v>1989</v>
      </c>
      <c r="F12" s="1">
        <f t="shared" si="0"/>
        <v>2329.9424309999999</v>
      </c>
      <c r="H12" s="29"/>
      <c r="I12" s="36"/>
      <c r="J12" s="36"/>
      <c r="K12" s="36"/>
      <c r="L12" s="36"/>
      <c r="M12" s="36"/>
      <c r="N12" s="36"/>
      <c r="O12" s="30"/>
      <c r="R12" s="29">
        <f t="shared" si="1"/>
        <v>1989</v>
      </c>
      <c r="S12" s="220">
        <f t="shared" si="2"/>
        <v>2329942.4309999999</v>
      </c>
      <c r="T12" s="220">
        <f t="shared" si="3"/>
        <v>107000.34400000004</v>
      </c>
      <c r="U12" s="220">
        <f t="shared" si="4"/>
        <v>1802822.7305714285</v>
      </c>
      <c r="V12" s="220">
        <f t="shared" si="5"/>
        <v>130227.71599999999</v>
      </c>
      <c r="W12" s="221">
        <f t="shared" si="6"/>
        <v>2323733.5945714284</v>
      </c>
      <c r="X12" s="220">
        <f t="shared" si="7"/>
        <v>6.2088364285714928</v>
      </c>
      <c r="Y12" s="220">
        <f t="shared" si="8"/>
        <v>38.549649796756412</v>
      </c>
      <c r="AB12" s="29"/>
      <c r="AC12" s="36"/>
      <c r="AD12" s="36"/>
      <c r="AE12" s="36"/>
      <c r="AF12" s="36"/>
      <c r="AG12" s="36"/>
      <c r="AH12" s="36"/>
      <c r="AI12" s="30"/>
    </row>
    <row r="13" spans="1:35" x14ac:dyDescent="0.2">
      <c r="C13">
        <v>13</v>
      </c>
      <c r="D13" s="2">
        <v>2431218941</v>
      </c>
      <c r="E13">
        <v>1990</v>
      </c>
      <c r="F13" s="1">
        <f t="shared" si="0"/>
        <v>2431.2189410000001</v>
      </c>
      <c r="H13" s="29"/>
      <c r="I13" s="36"/>
      <c r="J13" s="36"/>
      <c r="K13" s="36"/>
      <c r="L13" s="36"/>
      <c r="M13" s="36"/>
      <c r="N13" s="36"/>
      <c r="O13" s="30"/>
      <c r="R13" s="29">
        <f t="shared" si="1"/>
        <v>1990</v>
      </c>
      <c r="S13" s="220">
        <f t="shared" si="2"/>
        <v>2431218.9410000001</v>
      </c>
      <c r="T13" s="220">
        <f t="shared" si="3"/>
        <v>101276.51000000024</v>
      </c>
      <c r="U13" s="220">
        <f t="shared" si="4"/>
        <v>1933549.4437142855</v>
      </c>
      <c r="V13" s="220">
        <f t="shared" si="5"/>
        <v>130726.71314285712</v>
      </c>
      <c r="W13" s="221">
        <f t="shared" si="6"/>
        <v>2456456.296285714</v>
      </c>
      <c r="X13" s="220">
        <f t="shared" si="7"/>
        <v>-25.237355285713914</v>
      </c>
      <c r="Y13" s="220">
        <f t="shared" si="8"/>
        <v>636.92410181735204</v>
      </c>
      <c r="AB13" s="29"/>
      <c r="AC13" s="36"/>
      <c r="AD13" s="36"/>
      <c r="AE13" s="36"/>
      <c r="AF13" s="36"/>
      <c r="AG13" s="36"/>
      <c r="AH13" s="36"/>
      <c r="AI13" s="30"/>
    </row>
    <row r="14" spans="1:35" x14ac:dyDescent="0.2">
      <c r="C14">
        <v>14</v>
      </c>
      <c r="D14" s="2">
        <v>2353759183</v>
      </c>
      <c r="E14">
        <v>1991</v>
      </c>
      <c r="F14" s="1">
        <f t="shared" si="0"/>
        <v>2353.7591830000001</v>
      </c>
      <c r="H14" s="29"/>
      <c r="I14" s="36"/>
      <c r="J14" s="36"/>
      <c r="K14" s="36"/>
      <c r="L14" s="36"/>
      <c r="M14" s="36"/>
      <c r="N14" s="36"/>
      <c r="O14" s="30"/>
      <c r="R14" s="29">
        <f t="shared" si="1"/>
        <v>1991</v>
      </c>
      <c r="S14" s="220">
        <f t="shared" si="2"/>
        <v>2353759.1830000002</v>
      </c>
      <c r="T14" s="220">
        <f t="shared" si="3"/>
        <v>-77459.757999999914</v>
      </c>
      <c r="U14" s="220">
        <f t="shared" si="4"/>
        <v>2064463.7559999998</v>
      </c>
      <c r="V14" s="220">
        <f t="shared" si="5"/>
        <v>130914.31228571432</v>
      </c>
      <c r="W14" s="221">
        <f t="shared" si="6"/>
        <v>2588121.0051428573</v>
      </c>
      <c r="X14" s="220">
        <f t="shared" si="7"/>
        <v>-234.36182214285714</v>
      </c>
      <c r="Y14" s="220">
        <f t="shared" si="8"/>
        <v>54925.463678120199</v>
      </c>
      <c r="AB14" s="29"/>
      <c r="AC14" s="36"/>
      <c r="AD14" s="36"/>
      <c r="AE14" s="36"/>
      <c r="AF14" s="36"/>
      <c r="AG14" s="36"/>
      <c r="AH14" s="36"/>
      <c r="AI14" s="30"/>
    </row>
    <row r="15" spans="1:35" x14ac:dyDescent="0.2">
      <c r="C15">
        <v>15</v>
      </c>
      <c r="D15" s="2">
        <v>2277821789</v>
      </c>
      <c r="E15">
        <v>1992</v>
      </c>
      <c r="F15" s="1">
        <f t="shared" si="0"/>
        <v>2277.8217890000001</v>
      </c>
      <c r="H15" s="29"/>
      <c r="I15" s="36"/>
      <c r="J15" s="36"/>
      <c r="K15" s="36"/>
      <c r="L15" s="36"/>
      <c r="M15" s="36"/>
      <c r="N15" s="36"/>
      <c r="O15" s="30"/>
      <c r="R15" s="29">
        <f t="shared" si="1"/>
        <v>1992</v>
      </c>
      <c r="S15" s="220">
        <f t="shared" si="2"/>
        <v>2277821.7889999999</v>
      </c>
      <c r="T15" s="220">
        <f t="shared" si="3"/>
        <v>-75937.39400000032</v>
      </c>
      <c r="U15" s="220">
        <f t="shared" si="4"/>
        <v>2159812.1887142854</v>
      </c>
      <c r="V15" s="220">
        <f t="shared" si="5"/>
        <v>95348.432714285722</v>
      </c>
      <c r="W15" s="221">
        <f t="shared" si="6"/>
        <v>2541205.9195714281</v>
      </c>
      <c r="X15" s="220">
        <f t="shared" si="7"/>
        <v>-263.38413057142822</v>
      </c>
      <c r="Y15" s="220">
        <f t="shared" si="8"/>
        <v>69371.200236867153</v>
      </c>
      <c r="AB15" s="29"/>
      <c r="AC15" s="36"/>
      <c r="AD15" s="36"/>
      <c r="AE15" s="36"/>
      <c r="AF15" s="36"/>
      <c r="AG15" s="36"/>
      <c r="AH15" s="36"/>
      <c r="AI15" s="30"/>
    </row>
    <row r="16" spans="1:35" x14ac:dyDescent="0.2">
      <c r="C16">
        <v>16</v>
      </c>
      <c r="D16" s="2">
        <v>2402242735</v>
      </c>
      <c r="E16">
        <v>1993</v>
      </c>
      <c r="F16" s="1">
        <f t="shared" si="0"/>
        <v>2402.2427349999998</v>
      </c>
      <c r="H16" s="29"/>
      <c r="I16" s="36"/>
      <c r="J16" s="36"/>
      <c r="K16" s="36"/>
      <c r="L16" s="36"/>
      <c r="M16" s="36"/>
      <c r="N16" s="36"/>
      <c r="O16" s="30"/>
      <c r="R16" s="29">
        <f t="shared" si="1"/>
        <v>1993</v>
      </c>
      <c r="S16" s="220">
        <f t="shared" si="2"/>
        <v>2402242.7349999999</v>
      </c>
      <c r="T16" s="220">
        <f t="shared" si="3"/>
        <v>124420.946</v>
      </c>
      <c r="U16" s="220">
        <f t="shared" si="4"/>
        <v>2224102.3628571429</v>
      </c>
      <c r="V16" s="220">
        <f t="shared" si="5"/>
        <v>64290.174142857119</v>
      </c>
      <c r="W16" s="221">
        <f t="shared" si="6"/>
        <v>2481263.0594285713</v>
      </c>
      <c r="X16" s="220">
        <f t="shared" si="7"/>
        <v>-79.020324428571385</v>
      </c>
      <c r="Y16" s="220">
        <f t="shared" si="8"/>
        <v>6244.2116727966759</v>
      </c>
      <c r="AB16" s="29"/>
      <c r="AC16" s="36"/>
      <c r="AD16" s="36"/>
      <c r="AE16" s="36"/>
      <c r="AF16" s="36"/>
      <c r="AG16" s="36"/>
      <c r="AH16" s="36"/>
      <c r="AI16" s="30"/>
    </row>
    <row r="17" spans="3:35" x14ac:dyDescent="0.2">
      <c r="C17">
        <v>17</v>
      </c>
      <c r="D17" s="2">
        <v>2503646147</v>
      </c>
      <c r="E17">
        <v>1994</v>
      </c>
      <c r="F17" s="1">
        <f t="shared" si="0"/>
        <v>2503.6461469999999</v>
      </c>
      <c r="H17" s="29"/>
      <c r="I17" s="36"/>
      <c r="J17" s="36"/>
      <c r="K17" s="36"/>
      <c r="L17" s="36"/>
      <c r="M17" s="36"/>
      <c r="N17" s="36"/>
      <c r="O17" s="30"/>
      <c r="R17" s="29">
        <f t="shared" si="1"/>
        <v>1994</v>
      </c>
      <c r="S17" s="220">
        <f t="shared" si="2"/>
        <v>2503646.1469999999</v>
      </c>
      <c r="T17" s="220">
        <f t="shared" si="3"/>
        <v>101403.41200000001</v>
      </c>
      <c r="U17" s="220">
        <f t="shared" si="4"/>
        <v>2294616.1502857138</v>
      </c>
      <c r="V17" s="220">
        <f t="shared" si="5"/>
        <v>70513.787428571406</v>
      </c>
      <c r="W17" s="221">
        <f t="shared" si="6"/>
        <v>2576671.2999999993</v>
      </c>
      <c r="X17" s="220">
        <f t="shared" si="7"/>
        <v>-73.025152999999463</v>
      </c>
      <c r="Y17" s="220">
        <f t="shared" si="8"/>
        <v>5332.6729706733304</v>
      </c>
      <c r="AB17" s="29"/>
      <c r="AC17" s="36"/>
      <c r="AD17" s="36"/>
      <c r="AE17" s="36"/>
      <c r="AF17" s="36"/>
      <c r="AG17" s="36"/>
      <c r="AH17" s="36"/>
      <c r="AI17" s="30"/>
    </row>
    <row r="18" spans="3:35" x14ac:dyDescent="0.2">
      <c r="C18">
        <v>18</v>
      </c>
      <c r="D18" s="2">
        <v>2620932433</v>
      </c>
      <c r="E18">
        <v>1995</v>
      </c>
      <c r="F18" s="1">
        <f t="shared" si="0"/>
        <v>2620.9324329999999</v>
      </c>
      <c r="H18" s="29"/>
      <c r="I18" s="36"/>
      <c r="J18" s="36"/>
      <c r="K18" s="36"/>
      <c r="L18" s="36"/>
      <c r="M18" s="36"/>
      <c r="N18" s="36"/>
      <c r="O18" s="30"/>
      <c r="R18" s="29">
        <f t="shared" si="1"/>
        <v>1995</v>
      </c>
      <c r="S18" s="220">
        <f t="shared" si="2"/>
        <v>2620932.4330000002</v>
      </c>
      <c r="T18" s="220">
        <f t="shared" si="3"/>
        <v>117286.28600000031</v>
      </c>
      <c r="U18" s="220">
        <f t="shared" si="4"/>
        <v>2360224.7589999996</v>
      </c>
      <c r="V18" s="220">
        <f t="shared" si="5"/>
        <v>65608.6087142857</v>
      </c>
      <c r="W18" s="221">
        <f t="shared" si="6"/>
        <v>2622659.1938571422</v>
      </c>
      <c r="X18" s="220">
        <f t="shared" si="7"/>
        <v>-1.7267608571420423</v>
      </c>
      <c r="Y18" s="220">
        <f t="shared" si="8"/>
        <v>2.9817030577579207</v>
      </c>
      <c r="AB18" s="29"/>
      <c r="AC18" s="36"/>
      <c r="AD18" s="36"/>
      <c r="AE18" s="36"/>
      <c r="AF18" s="36"/>
      <c r="AG18" s="36"/>
      <c r="AH18" s="36"/>
      <c r="AI18" s="30"/>
    </row>
    <row r="19" spans="3:35" x14ac:dyDescent="0.2">
      <c r="C19">
        <v>19</v>
      </c>
      <c r="D19" s="2">
        <v>2742206403</v>
      </c>
      <c r="E19">
        <v>1996</v>
      </c>
      <c r="F19" s="1">
        <f t="shared" si="0"/>
        <v>2742.2064030000001</v>
      </c>
      <c r="H19" s="29"/>
      <c r="I19" s="36"/>
      <c r="J19" s="36"/>
      <c r="K19" s="36"/>
      <c r="L19" s="36"/>
      <c r="M19" s="36"/>
      <c r="N19" s="36"/>
      <c r="O19" s="30"/>
      <c r="R19" s="29">
        <f t="shared" si="1"/>
        <v>1996</v>
      </c>
      <c r="S19" s="220">
        <f t="shared" si="2"/>
        <v>2742206.4029999999</v>
      </c>
      <c r="T19" s="220">
        <f t="shared" si="3"/>
        <v>121273.96999999974</v>
      </c>
      <c r="U19" s="220">
        <f t="shared" si="4"/>
        <v>2417080.5227142861</v>
      </c>
      <c r="V19" s="220">
        <f t="shared" si="5"/>
        <v>56855.763714285764</v>
      </c>
      <c r="W19" s="221">
        <f t="shared" si="6"/>
        <v>2644503.5775714293</v>
      </c>
      <c r="X19" s="220">
        <f t="shared" si="7"/>
        <v>97.70282542857062</v>
      </c>
      <c r="Y19" s="220">
        <f t="shared" si="8"/>
        <v>9545.8420967257462</v>
      </c>
      <c r="AB19" s="29"/>
      <c r="AC19" s="36"/>
      <c r="AD19" s="36"/>
      <c r="AE19" s="36"/>
      <c r="AF19" s="36"/>
      <c r="AG19" s="36"/>
      <c r="AH19" s="36"/>
      <c r="AI19" s="30"/>
    </row>
    <row r="20" spans="3:35" x14ac:dyDescent="0.2">
      <c r="C20">
        <v>20</v>
      </c>
      <c r="D20" s="2">
        <v>2937083067</v>
      </c>
      <c r="E20">
        <v>1997</v>
      </c>
      <c r="F20" s="1">
        <f t="shared" si="0"/>
        <v>2937.083067</v>
      </c>
      <c r="H20" s="29"/>
      <c r="I20" s="36"/>
      <c r="J20" s="36"/>
      <c r="K20" s="36"/>
      <c r="L20" s="36"/>
      <c r="M20" s="36"/>
      <c r="N20" s="36"/>
      <c r="O20" s="30"/>
      <c r="R20" s="29">
        <f t="shared" si="1"/>
        <v>1997</v>
      </c>
      <c r="S20" s="220">
        <f t="shared" si="2"/>
        <v>2937083.0669999998</v>
      </c>
      <c r="T20" s="220">
        <f t="shared" si="3"/>
        <v>194876.66399999987</v>
      </c>
      <c r="U20" s="220">
        <f t="shared" si="4"/>
        <v>2475975.3758571432</v>
      </c>
      <c r="V20" s="220">
        <f t="shared" si="5"/>
        <v>58894.853142857151</v>
      </c>
      <c r="W20" s="221">
        <f t="shared" si="6"/>
        <v>2711554.788428572</v>
      </c>
      <c r="X20" s="220">
        <f t="shared" si="7"/>
        <v>225.52827857142779</v>
      </c>
      <c r="Y20" s="220">
        <f t="shared" si="8"/>
        <v>50863.004435391536</v>
      </c>
      <c r="AB20" s="29"/>
      <c r="AC20" s="36"/>
      <c r="AD20" s="36"/>
      <c r="AE20" s="36"/>
      <c r="AF20" s="36"/>
      <c r="AG20" s="36"/>
      <c r="AH20" s="36"/>
      <c r="AI20" s="30"/>
    </row>
    <row r="21" spans="3:35" x14ac:dyDescent="0.2">
      <c r="C21">
        <v>21</v>
      </c>
      <c r="D21" s="2">
        <v>3069378220</v>
      </c>
      <c r="E21">
        <v>1998</v>
      </c>
      <c r="F21" s="1">
        <f t="shared" si="0"/>
        <v>3069.3782200000001</v>
      </c>
      <c r="H21" s="29"/>
      <c r="I21" s="36"/>
      <c r="J21" s="36"/>
      <c r="K21" s="36"/>
      <c r="L21" s="36"/>
      <c r="M21" s="36"/>
      <c r="N21" s="36"/>
      <c r="O21" s="30"/>
      <c r="R21" s="29">
        <f t="shared" si="1"/>
        <v>1998</v>
      </c>
      <c r="S21" s="220">
        <f t="shared" si="2"/>
        <v>3069378.22</v>
      </c>
      <c r="T21" s="220">
        <f t="shared" si="3"/>
        <v>132295.1530000004</v>
      </c>
      <c r="U21" s="220">
        <f t="shared" si="4"/>
        <v>2548241.6795714283</v>
      </c>
      <c r="V21" s="220">
        <f t="shared" si="5"/>
        <v>72266.303714285677</v>
      </c>
      <c r="W21" s="221">
        <f t="shared" si="6"/>
        <v>2837306.8944285712</v>
      </c>
      <c r="X21" s="220">
        <f t="shared" si="7"/>
        <v>232.07132557142899</v>
      </c>
      <c r="Y21" s="220">
        <f t="shared" si="8"/>
        <v>53857.10015248019</v>
      </c>
      <c r="AB21" s="29"/>
      <c r="AC21" s="36"/>
      <c r="AD21" s="36"/>
      <c r="AE21" s="36"/>
      <c r="AF21" s="36"/>
      <c r="AG21" s="36"/>
      <c r="AH21" s="36"/>
      <c r="AI21" s="30"/>
    </row>
    <row r="22" spans="3:35" x14ac:dyDescent="0.2">
      <c r="C22">
        <v>22</v>
      </c>
      <c r="D22" s="2">
        <v>3204138379</v>
      </c>
      <c r="E22">
        <v>1999</v>
      </c>
      <c r="F22" s="1">
        <f t="shared" si="0"/>
        <v>3204.138379</v>
      </c>
      <c r="H22" s="29"/>
      <c r="I22" s="36"/>
      <c r="J22" s="36"/>
      <c r="K22" s="36"/>
      <c r="L22" s="36"/>
      <c r="M22" s="36"/>
      <c r="N22" s="36"/>
      <c r="O22" s="30"/>
      <c r="R22" s="29">
        <f t="shared" si="1"/>
        <v>1999</v>
      </c>
      <c r="S22" s="220">
        <f t="shared" si="2"/>
        <v>3204138.3790000002</v>
      </c>
      <c r="T22" s="220">
        <f t="shared" si="3"/>
        <v>134760.15899999999</v>
      </c>
      <c r="U22" s="220">
        <f t="shared" si="4"/>
        <v>2650472.9705714285</v>
      </c>
      <c r="V22" s="220">
        <f t="shared" si="5"/>
        <v>102231.291</v>
      </c>
      <c r="W22" s="221">
        <f t="shared" si="6"/>
        <v>3059398.1345714284</v>
      </c>
      <c r="X22" s="220">
        <f t="shared" si="7"/>
        <v>144.74024442857177</v>
      </c>
      <c r="Y22" s="220">
        <f t="shared" si="8"/>
        <v>20949.738357242702</v>
      </c>
      <c r="AB22" s="29"/>
      <c r="AC22" s="36"/>
      <c r="AD22" s="36"/>
      <c r="AE22" s="36"/>
      <c r="AF22" s="36"/>
      <c r="AG22" s="36"/>
      <c r="AH22" s="36"/>
      <c r="AI22" s="30"/>
    </row>
    <row r="23" spans="3:35" x14ac:dyDescent="0.2">
      <c r="C23">
        <v>23</v>
      </c>
      <c r="D23" s="2">
        <v>3525609617</v>
      </c>
      <c r="E23">
        <v>2000</v>
      </c>
      <c r="F23" s="1">
        <f t="shared" si="0"/>
        <v>3525.6096170000001</v>
      </c>
      <c r="H23" s="29"/>
      <c r="I23" s="36"/>
      <c r="J23" s="36"/>
      <c r="K23" s="36"/>
      <c r="L23" s="36"/>
      <c r="M23" s="36"/>
      <c r="N23" s="36"/>
      <c r="O23" s="30"/>
      <c r="R23" s="29">
        <f t="shared" si="1"/>
        <v>2000</v>
      </c>
      <c r="S23" s="220">
        <f t="shared" si="2"/>
        <v>3525609.6170000001</v>
      </c>
      <c r="T23" s="220">
        <f t="shared" si="3"/>
        <v>321471.2379999999</v>
      </c>
      <c r="U23" s="220">
        <f t="shared" si="4"/>
        <v>2782803.912</v>
      </c>
      <c r="V23" s="220">
        <f t="shared" si="5"/>
        <v>132330.94142857147</v>
      </c>
      <c r="W23" s="221">
        <f t="shared" si="6"/>
        <v>3312127.6777142859</v>
      </c>
      <c r="X23" s="220">
        <f t="shared" si="7"/>
        <v>213.48193928571419</v>
      </c>
      <c r="Y23" s="220">
        <f t="shared" si="8"/>
        <v>45574.538401189362</v>
      </c>
      <c r="AB23" s="29"/>
      <c r="AC23" s="36"/>
      <c r="AD23" s="36"/>
      <c r="AE23" s="36"/>
      <c r="AF23" s="36"/>
      <c r="AG23" s="36"/>
      <c r="AH23" s="36"/>
      <c r="AI23" s="30"/>
    </row>
    <row r="24" spans="3:35" x14ac:dyDescent="0.2">
      <c r="C24">
        <v>24</v>
      </c>
      <c r="D24" s="2">
        <v>3678734495</v>
      </c>
      <c r="E24">
        <v>2001</v>
      </c>
      <c r="F24" s="1">
        <f t="shared" si="0"/>
        <v>3678.7344950000002</v>
      </c>
      <c r="H24" s="29"/>
      <c r="I24" s="36"/>
      <c r="J24" s="36"/>
      <c r="K24" s="36"/>
      <c r="L24" s="36"/>
      <c r="M24" s="36"/>
      <c r="N24" s="36"/>
      <c r="O24" s="30"/>
      <c r="R24" s="29">
        <f t="shared" si="1"/>
        <v>2001</v>
      </c>
      <c r="S24" s="220">
        <f t="shared" si="2"/>
        <v>3678734.4950000001</v>
      </c>
      <c r="T24" s="220">
        <f t="shared" si="3"/>
        <v>153124.87800000003</v>
      </c>
      <c r="U24" s="220">
        <f t="shared" si="4"/>
        <v>2943284.895142857</v>
      </c>
      <c r="V24" s="220">
        <f t="shared" si="5"/>
        <v>160480.98314285718</v>
      </c>
      <c r="W24" s="221">
        <f t="shared" si="6"/>
        <v>3585208.8277142858</v>
      </c>
      <c r="X24" s="220">
        <f t="shared" si="7"/>
        <v>93.525667285714292</v>
      </c>
      <c r="Y24" s="220">
        <f t="shared" si="8"/>
        <v>8747.0504412381288</v>
      </c>
      <c r="AB24" s="29"/>
      <c r="AC24" s="36"/>
      <c r="AD24" s="36"/>
      <c r="AE24" s="36"/>
      <c r="AF24" s="36"/>
      <c r="AG24" s="36"/>
      <c r="AH24" s="36"/>
      <c r="AI24" s="30"/>
    </row>
    <row r="25" spans="3:35" x14ac:dyDescent="0.2">
      <c r="C25">
        <v>25</v>
      </c>
      <c r="D25" s="2">
        <v>3373354384</v>
      </c>
      <c r="E25">
        <v>2002</v>
      </c>
      <c r="F25" s="1">
        <f t="shared" si="0"/>
        <v>3373.3543840000002</v>
      </c>
      <c r="H25" s="29"/>
      <c r="I25" s="36"/>
      <c r="J25" s="36"/>
      <c r="K25" s="36"/>
      <c r="L25" s="36"/>
      <c r="M25" s="36"/>
      <c r="N25" s="36"/>
      <c r="O25" s="30"/>
      <c r="R25" s="29">
        <f t="shared" si="1"/>
        <v>2002</v>
      </c>
      <c r="S25" s="220">
        <f t="shared" si="2"/>
        <v>3373354.3840000001</v>
      </c>
      <c r="T25" s="220">
        <f t="shared" si="3"/>
        <v>-305380.11100000003</v>
      </c>
      <c r="U25" s="220">
        <f t="shared" si="4"/>
        <v>3111154.659142857</v>
      </c>
      <c r="V25" s="220">
        <f t="shared" si="5"/>
        <v>167869.76400000002</v>
      </c>
      <c r="W25" s="221">
        <f t="shared" si="6"/>
        <v>3782633.7151428573</v>
      </c>
      <c r="X25" s="220">
        <f t="shared" si="7"/>
        <v>-409.27933114285719</v>
      </c>
      <c r="Y25" s="220">
        <f t="shared" si="8"/>
        <v>167509.57090074455</v>
      </c>
      <c r="AB25" s="29"/>
      <c r="AC25" s="36"/>
      <c r="AD25" s="36"/>
      <c r="AE25" s="36"/>
      <c r="AF25" s="36"/>
      <c r="AG25" s="36"/>
      <c r="AH25" s="36"/>
      <c r="AI25" s="30"/>
    </row>
    <row r="26" spans="3:35" x14ac:dyDescent="0.2">
      <c r="C26">
        <v>26</v>
      </c>
      <c r="D26" s="2">
        <v>3550673303</v>
      </c>
      <c r="E26">
        <v>2003</v>
      </c>
      <c r="F26" s="1">
        <f t="shared" si="0"/>
        <v>3550.673303</v>
      </c>
      <c r="H26" s="29"/>
      <c r="I26" s="36"/>
      <c r="J26" s="36"/>
      <c r="K26" s="36"/>
      <c r="L26" s="36"/>
      <c r="M26" s="36"/>
      <c r="N26" s="36"/>
      <c r="O26" s="30"/>
      <c r="R26" s="29">
        <f t="shared" si="1"/>
        <v>2003</v>
      </c>
      <c r="S26" s="220">
        <f t="shared" si="2"/>
        <v>3550673.3029999998</v>
      </c>
      <c r="T26" s="220">
        <f t="shared" si="3"/>
        <v>177318.91899999976</v>
      </c>
      <c r="U26" s="220">
        <f t="shared" si="4"/>
        <v>3218643.5092857145</v>
      </c>
      <c r="V26" s="220">
        <f t="shared" si="5"/>
        <v>107488.85014285713</v>
      </c>
      <c r="W26" s="221">
        <f t="shared" si="6"/>
        <v>3648598.9098571432</v>
      </c>
      <c r="X26" s="220">
        <f t="shared" si="7"/>
        <v>-97.925606857143336</v>
      </c>
      <c r="Y26" s="220">
        <f t="shared" si="8"/>
        <v>9589.4244783397971</v>
      </c>
      <c r="AB26" s="29"/>
      <c r="AC26" s="36"/>
      <c r="AD26" s="36"/>
      <c r="AE26" s="36"/>
      <c r="AF26" s="36"/>
      <c r="AG26" s="36"/>
      <c r="AH26" s="36"/>
      <c r="AI26" s="30"/>
    </row>
    <row r="27" spans="3:35" x14ac:dyDescent="0.2">
      <c r="C27">
        <v>27</v>
      </c>
      <c r="D27" s="2">
        <v>4042486189</v>
      </c>
      <c r="E27">
        <v>2004</v>
      </c>
      <c r="F27" s="1">
        <f t="shared" si="0"/>
        <v>4042.4861890000002</v>
      </c>
      <c r="H27" s="29"/>
      <c r="I27" s="36"/>
      <c r="J27" s="36"/>
      <c r="K27" s="36"/>
      <c r="L27" s="36"/>
      <c r="M27" s="36"/>
      <c r="N27" s="36"/>
      <c r="O27" s="30"/>
      <c r="R27" s="29">
        <f t="shared" si="1"/>
        <v>2004</v>
      </c>
      <c r="S27" s="220">
        <f t="shared" si="2"/>
        <v>4042486.1889999998</v>
      </c>
      <c r="T27" s="220">
        <f t="shared" si="3"/>
        <v>491812.88599999994</v>
      </c>
      <c r="U27" s="220">
        <f t="shared" si="4"/>
        <v>3334138.7807142856</v>
      </c>
      <c r="V27" s="220">
        <f t="shared" si="5"/>
        <v>115495.27142857142</v>
      </c>
      <c r="W27" s="221">
        <f t="shared" si="6"/>
        <v>3796119.8664285713</v>
      </c>
      <c r="X27" s="220">
        <f t="shared" si="7"/>
        <v>246.3663225714285</v>
      </c>
      <c r="Y27" s="220">
        <f t="shared" si="8"/>
        <v>60696.36489736916</v>
      </c>
      <c r="AB27" s="29"/>
      <c r="AC27" s="36"/>
      <c r="AD27" s="36"/>
      <c r="AE27" s="36"/>
      <c r="AF27" s="36"/>
      <c r="AG27" s="36"/>
      <c r="AH27" s="36"/>
      <c r="AI27" s="30"/>
    </row>
    <row r="28" spans="3:35" x14ac:dyDescent="0.2">
      <c r="C28">
        <v>28</v>
      </c>
      <c r="D28" s="2">
        <v>4375119119</v>
      </c>
      <c r="E28">
        <v>2005</v>
      </c>
      <c r="F28" s="1">
        <f t="shared" si="0"/>
        <v>4375.119119</v>
      </c>
      <c r="H28" s="29"/>
      <c r="I28" s="36"/>
      <c r="J28" s="36"/>
      <c r="K28" s="36"/>
      <c r="L28" s="36"/>
      <c r="M28" s="36"/>
      <c r="N28" s="36"/>
      <c r="O28" s="30"/>
      <c r="R28" s="29">
        <f t="shared" si="1"/>
        <v>2005</v>
      </c>
      <c r="S28" s="220">
        <f t="shared" si="2"/>
        <v>4375119.1189999999</v>
      </c>
      <c r="T28" s="220">
        <f t="shared" si="3"/>
        <v>332632.93000000017</v>
      </c>
      <c r="U28" s="220">
        <f t="shared" si="4"/>
        <v>3492053.512428571</v>
      </c>
      <c r="V28" s="220">
        <f t="shared" si="5"/>
        <v>157914.73171428571</v>
      </c>
      <c r="W28" s="221">
        <f t="shared" si="6"/>
        <v>4123712.4392857137</v>
      </c>
      <c r="X28" s="220">
        <f t="shared" si="7"/>
        <v>251.40667971428624</v>
      </c>
      <c r="Y28" s="220">
        <f t="shared" si="8"/>
        <v>63205.318604961707</v>
      </c>
      <c r="AB28" s="29"/>
      <c r="AC28" s="36"/>
      <c r="AD28" s="36"/>
      <c r="AE28" s="36"/>
      <c r="AF28" s="36"/>
      <c r="AG28" s="36"/>
      <c r="AH28" s="36"/>
      <c r="AI28" s="30"/>
    </row>
    <row r="29" spans="3:35" ht="13.5" thickBot="1" x14ac:dyDescent="0.25">
      <c r="C29">
        <v>29</v>
      </c>
      <c r="D29" s="2">
        <v>4439362371</v>
      </c>
      <c r="E29">
        <v>2006</v>
      </c>
      <c r="F29" s="1">
        <f t="shared" si="0"/>
        <v>4439.3623710000002</v>
      </c>
      <c r="H29" s="37"/>
      <c r="I29" s="38"/>
      <c r="J29" s="38"/>
      <c r="K29" s="38"/>
      <c r="L29" s="38"/>
      <c r="M29" s="38"/>
      <c r="N29" s="38"/>
      <c r="O29" s="33"/>
      <c r="R29" s="29">
        <f t="shared" si="1"/>
        <v>2006</v>
      </c>
      <c r="S29" s="220">
        <f t="shared" si="2"/>
        <v>4439362.3710000003</v>
      </c>
      <c r="T29" s="220">
        <f t="shared" si="3"/>
        <v>64243.252000000328</v>
      </c>
      <c r="U29" s="220">
        <f t="shared" si="4"/>
        <v>3678587.9265714283</v>
      </c>
      <c r="V29" s="220">
        <f t="shared" si="5"/>
        <v>186534.4141428571</v>
      </c>
      <c r="W29" s="221">
        <f t="shared" si="6"/>
        <v>4424725.5831428571</v>
      </c>
      <c r="X29" s="220">
        <f t="shared" si="7"/>
        <v>14.636787857143208</v>
      </c>
      <c r="Y29" s="220">
        <f t="shared" si="8"/>
        <v>214.23555877501485</v>
      </c>
      <c r="AB29" s="37"/>
      <c r="AC29" s="38"/>
      <c r="AD29" s="38"/>
      <c r="AE29" s="38"/>
      <c r="AF29" s="38"/>
      <c r="AG29" s="38"/>
      <c r="AH29" s="38"/>
      <c r="AI29" s="33"/>
    </row>
    <row r="30" spans="3:35" x14ac:dyDescent="0.2">
      <c r="C30">
        <v>30</v>
      </c>
      <c r="D30" s="2">
        <v>4644538885</v>
      </c>
      <c r="E30">
        <v>2007</v>
      </c>
      <c r="F30" s="1">
        <f t="shared" si="0"/>
        <v>4644.5388849999999</v>
      </c>
      <c r="R30" s="29">
        <f t="shared" si="1"/>
        <v>2007</v>
      </c>
      <c r="S30" s="220">
        <f t="shared" si="2"/>
        <v>4644538.8849999998</v>
      </c>
      <c r="T30" s="220">
        <f t="shared" si="3"/>
        <v>205176.5139999995</v>
      </c>
      <c r="U30" s="220">
        <f t="shared" si="4"/>
        <v>3855048.4968571425</v>
      </c>
      <c r="V30" s="220">
        <f t="shared" si="5"/>
        <v>176460.57028571429</v>
      </c>
      <c r="W30" s="221">
        <f t="shared" si="6"/>
        <v>4560890.7779999999</v>
      </c>
      <c r="X30" s="220">
        <f t="shared" si="7"/>
        <v>83.64810699999984</v>
      </c>
      <c r="Y30" s="220">
        <f t="shared" si="8"/>
        <v>6997.005804683422</v>
      </c>
    </row>
    <row r="31" spans="3:35" x14ac:dyDescent="0.2">
      <c r="C31">
        <v>31</v>
      </c>
      <c r="D31" s="2">
        <v>4890737750</v>
      </c>
      <c r="E31">
        <v>2008</v>
      </c>
      <c r="F31" s="1">
        <f t="shared" si="0"/>
        <v>4890.7377500000002</v>
      </c>
      <c r="R31" s="29">
        <f t="shared" si="1"/>
        <v>2008</v>
      </c>
      <c r="S31" s="220">
        <f t="shared" si="2"/>
        <v>4890737.75</v>
      </c>
      <c r="T31" s="220">
        <f t="shared" si="3"/>
        <v>246198.86500000022</v>
      </c>
      <c r="U31" s="220">
        <f t="shared" si="4"/>
        <v>4014895.5351428571</v>
      </c>
      <c r="V31" s="220">
        <f t="shared" si="5"/>
        <v>159847.03828571425</v>
      </c>
      <c r="W31" s="221">
        <f t="shared" si="6"/>
        <v>4654283.688285714</v>
      </c>
      <c r="X31" s="220">
        <f t="shared" si="7"/>
        <v>236.45406171428598</v>
      </c>
      <c r="Y31" s="220">
        <f t="shared" si="8"/>
        <v>55910.523301183362</v>
      </c>
    </row>
    <row r="32" spans="3:35" x14ac:dyDescent="0.2">
      <c r="C32">
        <v>32</v>
      </c>
      <c r="D32" s="2">
        <v>4614926014</v>
      </c>
      <c r="E32">
        <v>2009</v>
      </c>
      <c r="F32" s="1">
        <f t="shared" si="0"/>
        <v>4614.9260139999997</v>
      </c>
      <c r="R32" s="29">
        <f t="shared" si="1"/>
        <v>2009</v>
      </c>
      <c r="S32" s="220">
        <f t="shared" si="2"/>
        <v>4614926.0140000004</v>
      </c>
      <c r="T32" s="220">
        <f t="shared" si="3"/>
        <v>-275811.73599999957</v>
      </c>
      <c r="U32" s="220">
        <f t="shared" si="4"/>
        <v>4188038.8572857147</v>
      </c>
      <c r="V32" s="220">
        <f t="shared" si="5"/>
        <v>173143.32214285713</v>
      </c>
      <c r="W32" s="221">
        <f t="shared" si="6"/>
        <v>4880612.1458571432</v>
      </c>
      <c r="X32" s="220">
        <f t="shared" si="7"/>
        <v>-265.68613185714281</v>
      </c>
      <c r="Y32" s="220">
        <f t="shared" si="8"/>
        <v>70589.120661211069</v>
      </c>
    </row>
    <row r="33" spans="3:25" x14ac:dyDescent="0.2">
      <c r="C33">
        <v>33</v>
      </c>
      <c r="D33" s="2">
        <v>5076371075</v>
      </c>
      <c r="E33">
        <v>2010</v>
      </c>
      <c r="F33" s="1">
        <f t="shared" si="0"/>
        <v>5076.371075</v>
      </c>
      <c r="R33" s="29">
        <f t="shared" si="1"/>
        <v>2010</v>
      </c>
      <c r="S33" s="220">
        <f t="shared" si="2"/>
        <v>5076371.0750000002</v>
      </c>
      <c r="T33" s="220">
        <f t="shared" si="3"/>
        <v>461445.06099999975</v>
      </c>
      <c r="U33" s="220">
        <f t="shared" si="4"/>
        <v>4365406.233</v>
      </c>
      <c r="V33" s="220">
        <f t="shared" si="5"/>
        <v>177367.37571428576</v>
      </c>
      <c r="W33" s="221">
        <f t="shared" si="6"/>
        <v>5074875.7358571431</v>
      </c>
      <c r="X33" s="220">
        <f t="shared" si="7"/>
        <v>1.4953391428571194</v>
      </c>
      <c r="Y33" s="220">
        <f t="shared" si="8"/>
        <v>2.2360391521606648</v>
      </c>
    </row>
    <row r="34" spans="3:25" x14ac:dyDescent="0.2">
      <c r="C34">
        <v>34</v>
      </c>
      <c r="D34" s="2">
        <v>5610243143</v>
      </c>
      <c r="E34">
        <v>2011</v>
      </c>
      <c r="F34" s="1">
        <f t="shared" si="0"/>
        <v>5610.2431429999997</v>
      </c>
      <c r="R34" s="29">
        <f t="shared" si="1"/>
        <v>2011</v>
      </c>
      <c r="S34" s="220">
        <f t="shared" si="2"/>
        <v>5610243.1430000002</v>
      </c>
      <c r="T34" s="220">
        <f t="shared" si="3"/>
        <v>533872.06799999997</v>
      </c>
      <c r="U34" s="220">
        <f t="shared" si="4"/>
        <v>4583363.0575714288</v>
      </c>
      <c r="V34" s="220">
        <f t="shared" si="5"/>
        <v>217956.82457142862</v>
      </c>
      <c r="W34" s="221">
        <f t="shared" si="6"/>
        <v>5455190.3558571432</v>
      </c>
      <c r="X34" s="220">
        <f t="shared" si="7"/>
        <v>155.05278714285697</v>
      </c>
      <c r="Y34" s="220">
        <f t="shared" si="8"/>
        <v>24041.366800768112</v>
      </c>
    </row>
    <row r="35" spans="3:25" x14ac:dyDescent="0.2">
      <c r="C35">
        <v>35</v>
      </c>
      <c r="D35" s="2">
        <v>5826046428</v>
      </c>
      <c r="E35">
        <v>2012</v>
      </c>
      <c r="F35" s="1">
        <f t="shared" si="0"/>
        <v>5826.0464279999997</v>
      </c>
      <c r="R35" s="29">
        <f t="shared" si="1"/>
        <v>2012</v>
      </c>
      <c r="S35" s="220">
        <f t="shared" si="2"/>
        <v>5826046.4280000003</v>
      </c>
      <c r="T35" s="220">
        <f t="shared" si="3"/>
        <v>215803.28500000015</v>
      </c>
      <c r="U35" s="220">
        <f t="shared" si="4"/>
        <v>4807328.3367142854</v>
      </c>
      <c r="V35" s="220">
        <f t="shared" si="5"/>
        <v>223965.27914285721</v>
      </c>
      <c r="W35" s="221">
        <f t="shared" si="6"/>
        <v>5703189.4532857146</v>
      </c>
      <c r="X35" s="220">
        <f t="shared" si="7"/>
        <v>122.8569747142857</v>
      </c>
      <c r="Y35" s="220">
        <f t="shared" si="8"/>
        <v>15093.836235946635</v>
      </c>
    </row>
    <row r="36" spans="3:25" x14ac:dyDescent="0.2">
      <c r="R36" s="29">
        <f>R35+1</f>
        <v>2013</v>
      </c>
      <c r="S36" s="36"/>
      <c r="T36" s="220"/>
      <c r="U36" s="220">
        <f t="shared" si="4"/>
        <v>5014603.666571429</v>
      </c>
      <c r="V36" s="220">
        <f t="shared" si="5"/>
        <v>207275.3298571429</v>
      </c>
      <c r="W36" s="221">
        <f t="shared" si="6"/>
        <v>5843704.9860000005</v>
      </c>
      <c r="X36" s="220"/>
      <c r="Y36" s="201"/>
    </row>
    <row r="37" spans="3:25" x14ac:dyDescent="0.2">
      <c r="R37" s="29">
        <f>R36+1</f>
        <v>2014</v>
      </c>
      <c r="S37" s="36"/>
      <c r="T37" s="220"/>
      <c r="U37" s="220">
        <f t="shared" si="4"/>
        <v>5221878.9964285716</v>
      </c>
      <c r="V37" s="220">
        <f t="shared" si="5"/>
        <v>207275.3298571429</v>
      </c>
      <c r="W37" s="221">
        <f t="shared" si="6"/>
        <v>6050980.3158571431</v>
      </c>
      <c r="X37" s="220"/>
      <c r="Y37" s="201"/>
    </row>
    <row r="38" spans="3:25" x14ac:dyDescent="0.2">
      <c r="R38" s="29">
        <f>R37+1</f>
        <v>2015</v>
      </c>
      <c r="S38" s="36"/>
      <c r="T38" s="220"/>
      <c r="U38" s="220">
        <f t="shared" si="4"/>
        <v>5429154.3262857143</v>
      </c>
      <c r="V38" s="220">
        <f t="shared" si="5"/>
        <v>207275.3298571429</v>
      </c>
      <c r="W38" s="221">
        <f t="shared" si="6"/>
        <v>6258255.6457142858</v>
      </c>
      <c r="X38" s="220"/>
      <c r="Y38" s="201"/>
    </row>
    <row r="39" spans="3:25" ht="13.5" thickBot="1" x14ac:dyDescent="0.25">
      <c r="R39" s="37">
        <f>R38+1</f>
        <v>2016</v>
      </c>
      <c r="S39" s="38"/>
      <c r="T39" s="222"/>
      <c r="U39" s="222">
        <f t="shared" si="4"/>
        <v>5636429.6561428569</v>
      </c>
      <c r="V39" s="222">
        <f t="shared" si="5"/>
        <v>207275.3298571429</v>
      </c>
      <c r="W39" s="223">
        <f t="shared" si="6"/>
        <v>6465530.9755714284</v>
      </c>
      <c r="X39" s="220"/>
      <c r="Y39" s="201"/>
    </row>
    <row r="40" spans="3:25" x14ac:dyDescent="0.2">
      <c r="U40" s="17"/>
      <c r="V40" s="1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Index</vt:lpstr>
      <vt:lpstr>Graphing</vt:lpstr>
      <vt:lpstr>Outliers</vt:lpstr>
      <vt:lpstr>Water&amp;Sewer</vt:lpstr>
      <vt:lpstr>PIT</vt:lpstr>
      <vt:lpstr>Figures</vt:lpstr>
      <vt:lpstr>LevelMAAnalysisPak</vt:lpstr>
      <vt:lpstr>LevelMA</vt:lpstr>
      <vt:lpstr>TrendMA  (2)</vt:lpstr>
      <vt:lpstr>Figure28.1</vt:lpstr>
      <vt:lpstr>Figure28.2</vt:lpstr>
      <vt:lpstr>Figure28.7</vt:lpstr>
      <vt:lpstr>Figure28.10</vt:lpstr>
      <vt:lpstr>Figure28.11</vt:lpstr>
      <vt:lpstr>Figure 28.23</vt:lpstr>
      <vt:lpstr>Figure28.14</vt:lpstr>
      <vt:lpstr>Figure28.15</vt:lpstr>
      <vt:lpstr>Figure28.1</vt:lpstr>
      <vt:lpstr>Figure28.10</vt:lpstr>
      <vt:lpstr>Figure28.11</vt:lpstr>
      <vt:lpstr>Figure28.12</vt:lpstr>
      <vt:lpstr>Figure28.15</vt:lpstr>
      <vt:lpstr>Figure28.16</vt:lpstr>
      <vt:lpstr>Figure28.19extended</vt:lpstr>
      <vt:lpstr>Figure28.2</vt:lpstr>
      <vt:lpstr>Figure28.23</vt:lpstr>
      <vt:lpstr>Figure28.24extended</vt:lpstr>
      <vt:lpstr>Figure28.5</vt:lpstr>
      <vt:lpstr>Figure28.7</vt:lpstr>
      <vt:lpstr>Figure29.14</vt:lpstr>
      <vt:lpstr>Figures28.8_28.9</vt:lpstr>
      <vt:lpstr>Table28.1</vt:lpstr>
      <vt:lpstr>Table28.2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2014-08-10T19:13:25Z</dcterms:created>
  <dcterms:modified xsi:type="dcterms:W3CDTF">2014-08-11T02:37:11Z</dcterms:modified>
</cp:coreProperties>
</file>