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Index" sheetId="14" r:id="rId1"/>
    <sheet name="Figure30p1" sheetId="3" r:id="rId2"/>
    <sheet name="Figure30.2" sheetId="2" r:id="rId3"/>
    <sheet name="Figure30p3" sheetId="1" r:id="rId4"/>
    <sheet name="Figure30.4" sheetId="9" r:id="rId5"/>
    <sheet name="Figure 30.20" sheetId="10" r:id="rId6"/>
    <sheet name="Water&amp;Sewer" sheetId="11" r:id="rId7"/>
    <sheet name="W&amp;SDiffNoOutlier" sheetId="12" r:id="rId8"/>
    <sheet name="W&amp;SDifference" sheetId="13" r:id="rId9"/>
  </sheets>
  <definedNames>
    <definedName name="Figure30.21">'Water&amp;Sewer'!$AD$13:$AG$42</definedName>
    <definedName name="Figure30.27">'Water&amp;Sewer'!$AJ$43:$AR$61</definedName>
    <definedName name="Figure30.28">'Water&amp;Sewer'!$AJ$97:$AU$140</definedName>
    <definedName name="Figure30.29">'Water&amp;Sewer'!$AJ$64:$AP$95</definedName>
    <definedName name="Figure30.3">Figure30p3!$F$2:$M$15</definedName>
    <definedName name="Figure30.35">'Water&amp;Sewer'!$AJ$58:$AK$61</definedName>
    <definedName name="Figure30.37">'Water&amp;Sewer'!$AO$13:$AS$42</definedName>
    <definedName name="Figure30.38">'W&amp;SDifference'!$A$1:$I$19</definedName>
    <definedName name="Figure30.39">'W&amp;SDiffNoOutlier'!$A$1:$I$19</definedName>
    <definedName name="Figure30.4">Figure30.4!$A$1:$J$86</definedName>
    <definedName name="Figure30.40">'W&amp;SDiffNoOutlier'!$K$6:$Z$37</definedName>
    <definedName name="Figure30.41">'W&amp;SDifference'!$A$16:$B$19</definedName>
    <definedName name="Figure30.42">'Water&amp;Sewer'!$AW$13:$BA$45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3" l="1"/>
  <c r="E26" i="13"/>
  <c r="D27" i="13"/>
  <c r="E27" i="13"/>
  <c r="D28" i="13"/>
  <c r="E28" i="13"/>
  <c r="D29" i="13"/>
  <c r="E29" i="13"/>
  <c r="D30" i="13"/>
  <c r="E30" i="13"/>
  <c r="D31" i="13"/>
  <c r="E31" i="13"/>
  <c r="D32" i="13"/>
  <c r="E32" i="13"/>
  <c r="D33" i="13"/>
  <c r="E33" i="13"/>
  <c r="D34" i="13"/>
  <c r="E34" i="13"/>
  <c r="D35" i="13"/>
  <c r="E35" i="13"/>
  <c r="D36" i="13"/>
  <c r="E36" i="13"/>
  <c r="D37" i="13"/>
  <c r="E37" i="13"/>
  <c r="D38" i="13"/>
  <c r="E38" i="13"/>
  <c r="D39" i="13"/>
  <c r="E39" i="13"/>
  <c r="D40" i="13"/>
  <c r="E40" i="13"/>
  <c r="D41" i="13"/>
  <c r="E41" i="13"/>
  <c r="D42" i="13"/>
  <c r="E42" i="13"/>
  <c r="D43" i="13"/>
  <c r="E43" i="13"/>
  <c r="D44" i="13"/>
  <c r="E44" i="13"/>
  <c r="D45" i="13"/>
  <c r="E45" i="13"/>
  <c r="D46" i="13"/>
  <c r="E46" i="13"/>
  <c r="D47" i="13"/>
  <c r="E47" i="13"/>
  <c r="D48" i="13"/>
  <c r="E48" i="13"/>
  <c r="D49" i="13"/>
  <c r="E49" i="13"/>
  <c r="D50" i="13"/>
  <c r="E50" i="13"/>
  <c r="D51" i="13"/>
  <c r="E51" i="13"/>
  <c r="D52" i="13"/>
  <c r="E52" i="13"/>
  <c r="D53" i="13"/>
  <c r="E53" i="13"/>
  <c r="E25" i="12"/>
  <c r="E26" i="12"/>
  <c r="D27" i="12"/>
  <c r="E27" i="12"/>
  <c r="D28" i="12"/>
  <c r="E28" i="12"/>
  <c r="D29" i="12"/>
  <c r="E29" i="12"/>
  <c r="D30" i="12"/>
  <c r="E30" i="12"/>
  <c r="D31" i="12"/>
  <c r="E31" i="12"/>
  <c r="D32" i="12"/>
  <c r="E32" i="12"/>
  <c r="D33" i="12"/>
  <c r="E33" i="12"/>
  <c r="D34" i="12"/>
  <c r="E34" i="12"/>
  <c r="D35" i="12"/>
  <c r="E35" i="12"/>
  <c r="D36" i="12"/>
  <c r="E36" i="12"/>
  <c r="D37" i="12"/>
  <c r="E37" i="12"/>
  <c r="D38" i="12"/>
  <c r="E38" i="12"/>
  <c r="D39" i="12"/>
  <c r="E39" i="12"/>
  <c r="D40" i="12"/>
  <c r="E40" i="12"/>
  <c r="D41" i="12"/>
  <c r="E41" i="12"/>
  <c r="D42" i="12"/>
  <c r="E42" i="12"/>
  <c r="D43" i="12"/>
  <c r="E43" i="12"/>
  <c r="D44" i="12"/>
  <c r="E44" i="12"/>
  <c r="D45" i="12"/>
  <c r="E45" i="12"/>
  <c r="D46" i="12"/>
  <c r="E46" i="12"/>
  <c r="D47" i="12"/>
  <c r="E47" i="12"/>
  <c r="D48" i="12"/>
  <c r="E48" i="12"/>
  <c r="D49" i="12"/>
  <c r="E49" i="12"/>
  <c r="D50" i="12"/>
  <c r="E50" i="12"/>
  <c r="D51" i="12"/>
  <c r="E51" i="12"/>
  <c r="AD13" i="11"/>
  <c r="AR13" i="11"/>
  <c r="AQ13" i="11" s="1"/>
  <c r="E14" i="11"/>
  <c r="H14" i="11"/>
  <c r="K14" i="11"/>
  <c r="L14" i="11" s="1"/>
  <c r="AF14" i="11"/>
  <c r="AW14" i="11"/>
  <c r="E15" i="11"/>
  <c r="H15" i="11"/>
  <c r="M15" i="11"/>
  <c r="O15" i="11"/>
  <c r="P15" i="11"/>
  <c r="V15" i="11"/>
  <c r="X15" i="11"/>
  <c r="Y15" i="11"/>
  <c r="Z15" i="11"/>
  <c r="AA15" i="11"/>
  <c r="AD15" i="11"/>
  <c r="AW15" i="11"/>
  <c r="E16" i="11"/>
  <c r="H16" i="11"/>
  <c r="M16" i="11"/>
  <c r="X16" i="11" s="1"/>
  <c r="AD14" i="11" s="1"/>
  <c r="O16" i="11"/>
  <c r="V16" i="11"/>
  <c r="Y16" i="11"/>
  <c r="AE15" i="11" s="1"/>
  <c r="Z16" i="11"/>
  <c r="AA16" i="11"/>
  <c r="AE16" i="11"/>
  <c r="AW16" i="11"/>
  <c r="E17" i="11"/>
  <c r="H17" i="11"/>
  <c r="M17" i="11"/>
  <c r="X17" i="11" s="1"/>
  <c r="O17" i="11"/>
  <c r="V17" i="11"/>
  <c r="Y17" i="11"/>
  <c r="AP15" i="11" s="1"/>
  <c r="Z17" i="11"/>
  <c r="AF16" i="11" s="1"/>
  <c r="AA17" i="11"/>
  <c r="AE17" i="11"/>
  <c r="AW17" i="11"/>
  <c r="E18" i="11"/>
  <c r="H18" i="11"/>
  <c r="M18" i="11"/>
  <c r="X18" i="11" s="1"/>
  <c r="AD16" i="11" s="1"/>
  <c r="O18" i="11"/>
  <c r="V18" i="11"/>
  <c r="Y18" i="11"/>
  <c r="AP16" i="11" s="1"/>
  <c r="AX14" i="11" s="1"/>
  <c r="Z18" i="11"/>
  <c r="AA18" i="11"/>
  <c r="AB18" i="11" s="1"/>
  <c r="AW18" i="11"/>
  <c r="E19" i="11"/>
  <c r="H19" i="11"/>
  <c r="M19" i="11"/>
  <c r="O19" i="11"/>
  <c r="U19" i="11"/>
  <c r="V19" i="11" s="1"/>
  <c r="X19" i="11"/>
  <c r="AD17" i="11" s="1"/>
  <c r="AA19" i="11"/>
  <c r="AD19" i="11"/>
  <c r="AW19" i="11"/>
  <c r="E20" i="11"/>
  <c r="H20" i="11"/>
  <c r="M20" i="11"/>
  <c r="O20" i="11"/>
  <c r="P20" i="11" s="1"/>
  <c r="U20" i="11"/>
  <c r="V20" i="11"/>
  <c r="Y20" i="11" s="1"/>
  <c r="X20" i="11"/>
  <c r="AD18" i="11" s="1"/>
  <c r="AA20" i="11"/>
  <c r="AW20" i="11"/>
  <c r="E21" i="11"/>
  <c r="H21" i="11"/>
  <c r="K21" i="11"/>
  <c r="L21" i="11" s="1"/>
  <c r="Q21" i="11" s="1"/>
  <c r="M21" i="11"/>
  <c r="O21" i="11"/>
  <c r="P21" i="11"/>
  <c r="U21" i="11"/>
  <c r="U24" i="11" s="1"/>
  <c r="V21" i="11"/>
  <c r="X21" i="11"/>
  <c r="AA21" i="11"/>
  <c r="AF21" i="11"/>
  <c r="AW21" i="11"/>
  <c r="E22" i="11"/>
  <c r="H22" i="11"/>
  <c r="K22" i="11"/>
  <c r="L22" i="11" s="1"/>
  <c r="M22" i="11"/>
  <c r="O22" i="11"/>
  <c r="P22" i="11"/>
  <c r="R22" i="11" s="1"/>
  <c r="U22" i="11"/>
  <c r="V22" i="11" s="1"/>
  <c r="Y22" i="11" s="1"/>
  <c r="X22" i="11"/>
  <c r="AD20" i="11" s="1"/>
  <c r="Z22" i="11"/>
  <c r="AA22" i="11"/>
  <c r="AW22" i="11"/>
  <c r="E23" i="11"/>
  <c r="H23" i="11"/>
  <c r="M23" i="11"/>
  <c r="O23" i="11"/>
  <c r="U23" i="11"/>
  <c r="V23" i="11" s="1"/>
  <c r="Z23" i="11" s="1"/>
  <c r="X23" i="11"/>
  <c r="AD21" i="11" s="1"/>
  <c r="Y23" i="11"/>
  <c r="AA23" i="11"/>
  <c r="AD23" i="11"/>
  <c r="AW23" i="11"/>
  <c r="E24" i="11"/>
  <c r="H24" i="11"/>
  <c r="M24" i="11"/>
  <c r="O24" i="11"/>
  <c r="X24" i="11"/>
  <c r="AD22" i="11" s="1"/>
  <c r="AA24" i="11"/>
  <c r="AW24" i="11"/>
  <c r="E25" i="11"/>
  <c r="H25" i="11"/>
  <c r="M25" i="11"/>
  <c r="O25" i="11"/>
  <c r="P25" i="11"/>
  <c r="U25" i="11"/>
  <c r="V25" i="11" s="1"/>
  <c r="Y25" i="11" s="1"/>
  <c r="X25" i="11"/>
  <c r="AA25" i="11"/>
  <c r="AW25" i="11"/>
  <c r="E26" i="11"/>
  <c r="H26" i="11"/>
  <c r="M26" i="11"/>
  <c r="O26" i="11"/>
  <c r="P26" i="11"/>
  <c r="R26" i="11" s="1"/>
  <c r="U26" i="11"/>
  <c r="V26" i="11" s="1"/>
  <c r="X26" i="11"/>
  <c r="AD24" i="11" s="1"/>
  <c r="Y26" i="11"/>
  <c r="AE25" i="11" s="1"/>
  <c r="Z26" i="11"/>
  <c r="AF25" i="11" s="1"/>
  <c r="AA26" i="11"/>
  <c r="AW26" i="11"/>
  <c r="E27" i="11"/>
  <c r="H27" i="11"/>
  <c r="M27" i="11"/>
  <c r="O27" i="11"/>
  <c r="X27" i="11"/>
  <c r="AD25" i="11" s="1"/>
  <c r="AA27" i="11"/>
  <c r="AD27" i="11"/>
  <c r="AW27" i="11"/>
  <c r="E28" i="11"/>
  <c r="H28" i="11"/>
  <c r="M28" i="11"/>
  <c r="O28" i="11"/>
  <c r="P28" i="11"/>
  <c r="U28" i="11"/>
  <c r="X28" i="11"/>
  <c r="AD26" i="11" s="1"/>
  <c r="AA28" i="11"/>
  <c r="AW28" i="11"/>
  <c r="E29" i="11"/>
  <c r="H29" i="11"/>
  <c r="M29" i="11"/>
  <c r="O29" i="11"/>
  <c r="U29" i="11"/>
  <c r="V29" i="11" s="1"/>
  <c r="Z29" i="11" s="1"/>
  <c r="X29" i="11"/>
  <c r="Y29" i="11"/>
  <c r="AA29" i="11"/>
  <c r="AD29" i="11"/>
  <c r="AW29" i="11"/>
  <c r="E30" i="11"/>
  <c r="H30" i="11"/>
  <c r="M30" i="11"/>
  <c r="O30" i="11"/>
  <c r="X30" i="11"/>
  <c r="AD28" i="11" s="1"/>
  <c r="AA30" i="11"/>
  <c r="AD30" i="11"/>
  <c r="AW30" i="11"/>
  <c r="E31" i="11"/>
  <c r="H31" i="11"/>
  <c r="M31" i="11"/>
  <c r="O31" i="11"/>
  <c r="P31" i="11" s="1"/>
  <c r="X31" i="11"/>
  <c r="AA31" i="11"/>
  <c r="AW31" i="11"/>
  <c r="E32" i="11"/>
  <c r="H32" i="11"/>
  <c r="M32" i="11"/>
  <c r="O32" i="11"/>
  <c r="P32" i="11"/>
  <c r="U32" i="11"/>
  <c r="X32" i="11"/>
  <c r="AA32" i="11"/>
  <c r="AW32" i="11"/>
  <c r="E33" i="11"/>
  <c r="H33" i="11"/>
  <c r="M33" i="11"/>
  <c r="O33" i="11"/>
  <c r="P33" i="11"/>
  <c r="R33" i="11" s="1"/>
  <c r="X33" i="11"/>
  <c r="AD31" i="11" s="1"/>
  <c r="AA33" i="11"/>
  <c r="AW33" i="11"/>
  <c r="E34" i="11"/>
  <c r="H34" i="11"/>
  <c r="M34" i="11"/>
  <c r="O34" i="11"/>
  <c r="X34" i="11"/>
  <c r="AD32" i="11" s="1"/>
  <c r="AA34" i="11"/>
  <c r="AW34" i="11"/>
  <c r="E35" i="11"/>
  <c r="H35" i="11"/>
  <c r="M35" i="11"/>
  <c r="O35" i="11"/>
  <c r="X35" i="11"/>
  <c r="AD33" i="11" s="1"/>
  <c r="AA35" i="11"/>
  <c r="AW35" i="11"/>
  <c r="E36" i="11"/>
  <c r="H36" i="11"/>
  <c r="M36" i="11"/>
  <c r="X36" i="11" s="1"/>
  <c r="AD34" i="11" s="1"/>
  <c r="O36" i="11"/>
  <c r="P36" i="11"/>
  <c r="AA36" i="11"/>
  <c r="AW36" i="11"/>
  <c r="E37" i="11"/>
  <c r="H37" i="11"/>
  <c r="M37" i="11"/>
  <c r="O37" i="11"/>
  <c r="P37" i="11"/>
  <c r="R37" i="11" s="1"/>
  <c r="X37" i="11"/>
  <c r="AD35" i="11" s="1"/>
  <c r="AA37" i="11"/>
  <c r="AW37" i="11"/>
  <c r="E38" i="11"/>
  <c r="H38" i="11"/>
  <c r="M38" i="11"/>
  <c r="O38" i="11"/>
  <c r="X38" i="11"/>
  <c r="AD36" i="11" s="1"/>
  <c r="AA38" i="11"/>
  <c r="AD38" i="11"/>
  <c r="AW38" i="11"/>
  <c r="E39" i="11"/>
  <c r="H39" i="11"/>
  <c r="P39" i="11" s="1"/>
  <c r="M39" i="11"/>
  <c r="O39" i="11"/>
  <c r="X39" i="11"/>
  <c r="AD37" i="11" s="1"/>
  <c r="AA39" i="11"/>
  <c r="AW39" i="11"/>
  <c r="E40" i="11"/>
  <c r="H40" i="11"/>
  <c r="M40" i="11"/>
  <c r="O40" i="11"/>
  <c r="P40" i="11"/>
  <c r="X40" i="11"/>
  <c r="AA40" i="11"/>
  <c r="AD40" i="11"/>
  <c r="AW40" i="11"/>
  <c r="E41" i="11"/>
  <c r="H41" i="11"/>
  <c r="M41" i="11"/>
  <c r="O41" i="11"/>
  <c r="P41" i="11"/>
  <c r="R41" i="11" s="1"/>
  <c r="X41" i="11"/>
  <c r="AD39" i="11" s="1"/>
  <c r="AA41" i="11"/>
  <c r="E42" i="11"/>
  <c r="H42" i="11"/>
  <c r="M42" i="11"/>
  <c r="O42" i="11"/>
  <c r="P42" i="11"/>
  <c r="R42" i="11" s="1"/>
  <c r="X42" i="11"/>
  <c r="AA42" i="11"/>
  <c r="E43" i="11"/>
  <c r="H43" i="11"/>
  <c r="P43" i="11" s="1"/>
  <c r="R43" i="11" s="1"/>
  <c r="M43" i="11"/>
  <c r="X43" i="11" s="1"/>
  <c r="AD41" i="11" s="1"/>
  <c r="O43" i="11"/>
  <c r="AA43" i="11"/>
  <c r="E44" i="11"/>
  <c r="H44" i="11"/>
  <c r="M44" i="11"/>
  <c r="O44" i="11"/>
  <c r="X44" i="11"/>
  <c r="AD42" i="11" s="1"/>
  <c r="AA44" i="11"/>
  <c r="O45" i="11"/>
  <c r="AE45" i="11"/>
  <c r="AF45" i="11"/>
  <c r="AG45" i="11"/>
  <c r="O46" i="11"/>
  <c r="AM66" i="11"/>
  <c r="AN67" i="11"/>
  <c r="AN66" i="11" s="1"/>
  <c r="AP67" i="11"/>
  <c r="AM68" i="11"/>
  <c r="AN68" i="11"/>
  <c r="AP68" i="11"/>
  <c r="AM69" i="11"/>
  <c r="AN69" i="11"/>
  <c r="AP69" i="11"/>
  <c r="AM70" i="11"/>
  <c r="AN70" i="11"/>
  <c r="AP70" i="11"/>
  <c r="AM71" i="11"/>
  <c r="AN71" i="11"/>
  <c r="AP71" i="11"/>
  <c r="AM72" i="11"/>
  <c r="AN72" i="11"/>
  <c r="AP72" i="11"/>
  <c r="AM73" i="11"/>
  <c r="AN73" i="11"/>
  <c r="AP73" i="11"/>
  <c r="AM74" i="11"/>
  <c r="AN74" i="11"/>
  <c r="AP74" i="11"/>
  <c r="AM75" i="11"/>
  <c r="AN75" i="11"/>
  <c r="AP75" i="11"/>
  <c r="AM76" i="11"/>
  <c r="AN76" i="11"/>
  <c r="AP76" i="11"/>
  <c r="AM77" i="11"/>
  <c r="AN77" i="11"/>
  <c r="AP77" i="11"/>
  <c r="AM78" i="11"/>
  <c r="AN78" i="11"/>
  <c r="AP78" i="11"/>
  <c r="AM79" i="11"/>
  <c r="AN79" i="11"/>
  <c r="AP79" i="11"/>
  <c r="AM80" i="11"/>
  <c r="AN80" i="11"/>
  <c r="AP80" i="11"/>
  <c r="AM81" i="11"/>
  <c r="AN81" i="11"/>
  <c r="AP81" i="11"/>
  <c r="AM82" i="11"/>
  <c r="AN82" i="11"/>
  <c r="AP82" i="11"/>
  <c r="AM83" i="11"/>
  <c r="AN83" i="11"/>
  <c r="AP83" i="11"/>
  <c r="AM84" i="11"/>
  <c r="AN84" i="11"/>
  <c r="AP84" i="11"/>
  <c r="AM85" i="11"/>
  <c r="AN85" i="11"/>
  <c r="AP85" i="11"/>
  <c r="AM86" i="11"/>
  <c r="AN86" i="11"/>
  <c r="AP86" i="11"/>
  <c r="AM87" i="11"/>
  <c r="AN87" i="11"/>
  <c r="AP87" i="11"/>
  <c r="AM88" i="11"/>
  <c r="AN88" i="11"/>
  <c r="AP88" i="11"/>
  <c r="AM89" i="11"/>
  <c r="AN89" i="11"/>
  <c r="AP89" i="11"/>
  <c r="AM90" i="11"/>
  <c r="AN90" i="11"/>
  <c r="AP90" i="11"/>
  <c r="AM91" i="11"/>
  <c r="AN91" i="11"/>
  <c r="AP91" i="11"/>
  <c r="AM92" i="11"/>
  <c r="AN92" i="11"/>
  <c r="AP92" i="11"/>
  <c r="AM93" i="11"/>
  <c r="AN93" i="11"/>
  <c r="AP93" i="11"/>
  <c r="AM94" i="11"/>
  <c r="AN94" i="11"/>
  <c r="AP94" i="11"/>
  <c r="AM95" i="11"/>
  <c r="AN95" i="11"/>
  <c r="AP95" i="11"/>
  <c r="Q22" i="11" l="1"/>
  <c r="S22" i="11" s="1"/>
  <c r="P38" i="11"/>
  <c r="R38" i="11" s="1"/>
  <c r="R40" i="11"/>
  <c r="P44" i="11"/>
  <c r="R44" i="11" s="1"/>
  <c r="R36" i="11"/>
  <c r="AM65" i="11"/>
  <c r="P27" i="11"/>
  <c r="R27" i="11" s="1"/>
  <c r="AB29" i="11"/>
  <c r="E25" i="13"/>
  <c r="AE24" i="11"/>
  <c r="V24" i="11"/>
  <c r="U27" i="11"/>
  <c r="AG16" i="11"/>
  <c r="P17" i="11"/>
  <c r="P34" i="11"/>
  <c r="R34" i="11" s="1"/>
  <c r="V32" i="11"/>
  <c r="U35" i="11"/>
  <c r="AE28" i="11"/>
  <c r="V28" i="11"/>
  <c r="U31" i="11"/>
  <c r="P23" i="11"/>
  <c r="R23" i="11" s="1"/>
  <c r="Z19" i="11"/>
  <c r="Y19" i="11"/>
  <c r="P29" i="11"/>
  <c r="R29" i="11" s="1"/>
  <c r="AH16" i="11"/>
  <c r="AI16" i="11" s="1"/>
  <c r="AH25" i="11"/>
  <c r="AI25" i="11" s="1"/>
  <c r="P35" i="11"/>
  <c r="R35" i="11" s="1"/>
  <c r="R32" i="11"/>
  <c r="P30" i="11"/>
  <c r="R30" i="11" s="1"/>
  <c r="AF28" i="11"/>
  <c r="AH28" i="11" s="1"/>
  <c r="AI28" i="11" s="1"/>
  <c r="R28" i="11"/>
  <c r="Z25" i="11"/>
  <c r="AP24" i="11"/>
  <c r="AX22" i="11" s="1"/>
  <c r="AP21" i="11"/>
  <c r="AX19" i="11" s="1"/>
  <c r="AB23" i="11"/>
  <c r="AE22" i="11"/>
  <c r="AH22" i="11" s="1"/>
  <c r="AI22" i="11" s="1"/>
  <c r="P24" i="11"/>
  <c r="R24" i="11" s="1"/>
  <c r="AE21" i="11"/>
  <c r="AH21" i="11" s="1"/>
  <c r="AI21" i="11" s="1"/>
  <c r="AP18" i="11"/>
  <c r="AX16" i="11" s="1"/>
  <c r="AE19" i="11"/>
  <c r="AR16" i="11"/>
  <c r="AQ16" i="11" s="1"/>
  <c r="AY14" i="11" s="1"/>
  <c r="AF17" i="11"/>
  <c r="AH17" i="11" s="1"/>
  <c r="AI17" i="11" s="1"/>
  <c r="P18" i="11"/>
  <c r="R18" i="11" s="1"/>
  <c r="AB26" i="11"/>
  <c r="AF22" i="11"/>
  <c r="AR21" i="11"/>
  <c r="AQ21" i="11" s="1"/>
  <c r="AY19" i="11" s="1"/>
  <c r="K23" i="11"/>
  <c r="L23" i="11" s="1"/>
  <c r="Q23" i="11" s="1"/>
  <c r="AB22" i="11"/>
  <c r="R21" i="11"/>
  <c r="P19" i="11"/>
  <c r="R19" i="11" s="1"/>
  <c r="AB16" i="11"/>
  <c r="AG14" i="11" s="1"/>
  <c r="AR20" i="11"/>
  <c r="AQ20" i="11" s="1"/>
  <c r="AY18" i="11" s="1"/>
  <c r="Z21" i="11"/>
  <c r="Y21" i="11"/>
  <c r="AP20" i="11" s="1"/>
  <c r="AB17" i="11"/>
  <c r="AS15" i="11" s="1"/>
  <c r="AR14" i="11"/>
  <c r="AF15" i="11"/>
  <c r="AH15" i="11" s="1"/>
  <c r="AI15" i="11" s="1"/>
  <c r="P16" i="11"/>
  <c r="R16" i="11" s="1"/>
  <c r="AE14" i="11"/>
  <c r="AH14" i="11" s="1"/>
  <c r="AI14" i="11" s="1"/>
  <c r="AB15" i="11"/>
  <c r="AP14" i="11"/>
  <c r="D25" i="12"/>
  <c r="D24" i="12" s="1"/>
  <c r="H4" i="12" s="1"/>
  <c r="D24" i="13"/>
  <c r="Z20" i="11"/>
  <c r="S23" i="11" l="1"/>
  <c r="K15" i="11"/>
  <c r="L15" i="11" s="1"/>
  <c r="Q15" i="11" s="1"/>
  <c r="AX18" i="11"/>
  <c r="BA18" i="11"/>
  <c r="AH19" i="11"/>
  <c r="AI19" i="11" s="1"/>
  <c r="AQ14" i="11"/>
  <c r="AF24" i="11"/>
  <c r="AH24" i="11" s="1"/>
  <c r="AI24" i="11" s="1"/>
  <c r="AR23" i="11"/>
  <c r="AQ23" i="11" s="1"/>
  <c r="AY21" i="11" s="1"/>
  <c r="AR18" i="11"/>
  <c r="AQ18" i="11" s="1"/>
  <c r="AY16" i="11" s="1"/>
  <c r="AF19" i="11"/>
  <c r="AB20" i="11"/>
  <c r="AF20" i="11"/>
  <c r="AR19" i="11"/>
  <c r="AQ19" i="11" s="1"/>
  <c r="AY17" i="11" s="1"/>
  <c r="AP17" i="11"/>
  <c r="AE18" i="11"/>
  <c r="U34" i="11"/>
  <c r="V31" i="11"/>
  <c r="Y32" i="11"/>
  <c r="Z32" i="11"/>
  <c r="Y24" i="11"/>
  <c r="Z24" i="11"/>
  <c r="AR17" i="11"/>
  <c r="AQ17" i="11" s="1"/>
  <c r="AY15" i="11" s="1"/>
  <c r="AB19" i="11"/>
  <c r="AF18" i="11"/>
  <c r="AS14" i="11"/>
  <c r="AG15" i="11"/>
  <c r="AB25" i="11"/>
  <c r="K24" i="11"/>
  <c r="L24" i="11" s="1"/>
  <c r="Q24" i="11" s="1"/>
  <c r="S24" i="11" s="1"/>
  <c r="AG24" i="11"/>
  <c r="AB21" i="11"/>
  <c r="R25" i="11"/>
  <c r="AG21" i="11"/>
  <c r="AS20" i="11"/>
  <c r="AZ18" i="11" s="1"/>
  <c r="R20" i="11"/>
  <c r="BA19" i="11"/>
  <c r="R39" i="11"/>
  <c r="AS19" i="11"/>
  <c r="AZ17" i="11" s="1"/>
  <c r="AG20" i="11"/>
  <c r="Y28" i="11"/>
  <c r="Z28" i="11"/>
  <c r="AP19" i="11"/>
  <c r="AE20" i="11"/>
  <c r="AR24" i="11"/>
  <c r="AQ24" i="11" s="1"/>
  <c r="AY22" i="11" s="1"/>
  <c r="V35" i="11"/>
  <c r="U38" i="11"/>
  <c r="R17" i="11"/>
  <c r="V27" i="11"/>
  <c r="U30" i="11"/>
  <c r="AG27" i="11"/>
  <c r="BA14" i="11"/>
  <c r="BA16" i="11"/>
  <c r="R31" i="11"/>
  <c r="K16" i="11" l="1"/>
  <c r="L16" i="11" s="1"/>
  <c r="Q16" i="11" s="1"/>
  <c r="S16" i="11" s="1"/>
  <c r="AH20" i="11"/>
  <c r="AI20" i="11" s="1"/>
  <c r="AG19" i="11"/>
  <c r="AS18" i="11"/>
  <c r="AZ16" i="11" s="1"/>
  <c r="AR22" i="11"/>
  <c r="AF23" i="11"/>
  <c r="AB24" i="11"/>
  <c r="AS22" i="11" s="1"/>
  <c r="AZ20" i="11" s="1"/>
  <c r="Y31" i="11"/>
  <c r="Z31" i="11"/>
  <c r="AX17" i="11"/>
  <c r="BA17" i="11"/>
  <c r="AG23" i="11"/>
  <c r="AG17" i="11"/>
  <c r="AS16" i="11"/>
  <c r="AZ14" i="11" s="1"/>
  <c r="AP22" i="11"/>
  <c r="AE23" i="11"/>
  <c r="AH23" i="11" s="1"/>
  <c r="AI23" i="11" s="1"/>
  <c r="AP23" i="11"/>
  <c r="V30" i="11"/>
  <c r="U33" i="11"/>
  <c r="Z35" i="11"/>
  <c r="Y35" i="11"/>
  <c r="AF27" i="11"/>
  <c r="AB28" i="11"/>
  <c r="AR27" i="11"/>
  <c r="AQ27" i="11" s="1"/>
  <c r="AY25" i="11" s="1"/>
  <c r="AS23" i="11"/>
  <c r="AZ21" i="11" s="1"/>
  <c r="AF31" i="11"/>
  <c r="AB32" i="11"/>
  <c r="AH18" i="11"/>
  <c r="AI18" i="11" s="1"/>
  <c r="AG18" i="11"/>
  <c r="AS17" i="11"/>
  <c r="AZ15" i="11" s="1"/>
  <c r="V38" i="11"/>
  <c r="U41" i="11"/>
  <c r="V34" i="11"/>
  <c r="U37" i="11"/>
  <c r="Y27" i="11"/>
  <c r="AP26" i="11" s="1"/>
  <c r="Z27" i="11"/>
  <c r="AR26" i="11" s="1"/>
  <c r="AQ26" i="11" s="1"/>
  <c r="AY24" i="11" s="1"/>
  <c r="AE27" i="11"/>
  <c r="AH27" i="11" s="1"/>
  <c r="AI27" i="11" s="1"/>
  <c r="AP27" i="11"/>
  <c r="K25" i="11"/>
  <c r="L25" i="11" s="1"/>
  <c r="Q25" i="11" s="1"/>
  <c r="S25" i="11" s="1"/>
  <c r="BA22" i="11"/>
  <c r="AP30" i="11"/>
  <c r="AE31" i="11"/>
  <c r="AX15" i="11"/>
  <c r="BA15" i="11"/>
  <c r="K17" i="11" l="1"/>
  <c r="L17" i="11" s="1"/>
  <c r="Q17" i="11" s="1"/>
  <c r="S17" i="11" s="1"/>
  <c r="AX24" i="11"/>
  <c r="BA24" i="11"/>
  <c r="U40" i="11"/>
  <c r="V37" i="11"/>
  <c r="AG26" i="11"/>
  <c r="AS26" i="11"/>
  <c r="AZ24" i="11" s="1"/>
  <c r="AF34" i="11"/>
  <c r="AB35" i="11"/>
  <c r="AF30" i="11"/>
  <c r="AR29" i="11"/>
  <c r="AQ29" i="11" s="1"/>
  <c r="AY27" i="11" s="1"/>
  <c r="AB31" i="11"/>
  <c r="AQ22" i="11"/>
  <c r="AY20" i="11" s="1"/>
  <c r="K26" i="11"/>
  <c r="L26" i="11" s="1"/>
  <c r="Q26" i="11" s="1"/>
  <c r="S26" i="11" s="1"/>
  <c r="Z34" i="11"/>
  <c r="Y34" i="11"/>
  <c r="AP33" i="11" s="1"/>
  <c r="AR30" i="11"/>
  <c r="AQ30" i="11" s="1"/>
  <c r="AY28" i="11" s="1"/>
  <c r="V33" i="11"/>
  <c r="U36" i="11"/>
  <c r="AX20" i="11"/>
  <c r="BA20" i="11"/>
  <c r="AE30" i="11"/>
  <c r="AH30" i="11" s="1"/>
  <c r="AI30" i="11" s="1"/>
  <c r="AH31" i="11"/>
  <c r="AI31" i="11" s="1"/>
  <c r="AF26" i="11"/>
  <c r="AR25" i="11"/>
  <c r="AQ25" i="11" s="1"/>
  <c r="AY23" i="11" s="1"/>
  <c r="AB27" i="11"/>
  <c r="AS25" i="11" s="1"/>
  <c r="AZ23" i="11" s="1"/>
  <c r="U44" i="11"/>
  <c r="V44" i="11" s="1"/>
  <c r="V41" i="11"/>
  <c r="Y30" i="11"/>
  <c r="AP29" i="11" s="1"/>
  <c r="Z30" i="11"/>
  <c r="AS21" i="11"/>
  <c r="AZ19" i="11" s="1"/>
  <c r="AG22" i="11"/>
  <c r="AX28" i="11"/>
  <c r="BA28" i="11"/>
  <c r="AX25" i="11"/>
  <c r="BA25" i="11"/>
  <c r="AP25" i="11"/>
  <c r="AE26" i="11"/>
  <c r="AH26" i="11" s="1"/>
  <c r="AI26" i="11" s="1"/>
  <c r="Z38" i="11"/>
  <c r="Y38" i="11"/>
  <c r="AS29" i="11"/>
  <c r="AZ27" i="11" s="1"/>
  <c r="AG30" i="11"/>
  <c r="AE34" i="11"/>
  <c r="AX21" i="11"/>
  <c r="BA21" i="11"/>
  <c r="K18" i="11" l="1"/>
  <c r="L18" i="11" s="1"/>
  <c r="Q18" i="11" s="1"/>
  <c r="S18" i="11" s="1"/>
  <c r="AX31" i="11"/>
  <c r="AX27" i="11"/>
  <c r="BA27" i="11"/>
  <c r="AH34" i="11"/>
  <c r="AI34" i="11" s="1"/>
  <c r="AE37" i="11"/>
  <c r="Y41" i="11"/>
  <c r="Z41" i="11"/>
  <c r="U39" i="11"/>
  <c r="V36" i="11"/>
  <c r="AF33" i="11"/>
  <c r="AR32" i="11"/>
  <c r="AQ32" i="11" s="1"/>
  <c r="AY30" i="11" s="1"/>
  <c r="AB34" i="11"/>
  <c r="U43" i="11"/>
  <c r="V43" i="11" s="1"/>
  <c r="V40" i="11"/>
  <c r="Y37" i="11"/>
  <c r="Z37" i="11"/>
  <c r="AR36" i="11"/>
  <c r="AQ36" i="11" s="1"/>
  <c r="AY34" i="11" s="1"/>
  <c r="AB38" i="11"/>
  <c r="AF37" i="11"/>
  <c r="Z44" i="11"/>
  <c r="Y44" i="11"/>
  <c r="Y33" i="11"/>
  <c r="AP32" i="11" s="1"/>
  <c r="Z33" i="11"/>
  <c r="K27" i="11"/>
  <c r="L27" i="11" s="1"/>
  <c r="Q27" i="11" s="1"/>
  <c r="S27" i="11" s="1"/>
  <c r="AG33" i="11"/>
  <c r="AS32" i="11"/>
  <c r="AZ30" i="11" s="1"/>
  <c r="AX23" i="11"/>
  <c r="BA23" i="11"/>
  <c r="AP28" i="11"/>
  <c r="AE29" i="11"/>
  <c r="AE33" i="11"/>
  <c r="AH33" i="11" s="1"/>
  <c r="AI33" i="11" s="1"/>
  <c r="AF29" i="11"/>
  <c r="AR28" i="11"/>
  <c r="AQ28" i="11" s="1"/>
  <c r="AY26" i="11" s="1"/>
  <c r="AB30" i="11"/>
  <c r="AG25" i="11"/>
  <c r="AS24" i="11"/>
  <c r="AZ22" i="11" s="1"/>
  <c r="AG29" i="11"/>
  <c r="AS28" i="11"/>
  <c r="AZ26" i="11" s="1"/>
  <c r="AR33" i="11"/>
  <c r="AQ33" i="11" s="1"/>
  <c r="AY31" i="11" s="1"/>
  <c r="K19" i="11" l="1"/>
  <c r="L19" i="11" s="1"/>
  <c r="Q19" i="11" s="1"/>
  <c r="S19" i="11" s="1"/>
  <c r="K20" i="11"/>
  <c r="L20" i="11" s="1"/>
  <c r="Q20" i="11" s="1"/>
  <c r="AX30" i="11"/>
  <c r="BA30" i="11"/>
  <c r="AG28" i="11"/>
  <c r="AS27" i="11"/>
  <c r="AZ25" i="11" s="1"/>
  <c r="AF43" i="11"/>
  <c r="AB44" i="11"/>
  <c r="AF36" i="11"/>
  <c r="AB37" i="11"/>
  <c r="AR35" i="11"/>
  <c r="AQ35" i="11" s="1"/>
  <c r="AY33" i="11" s="1"/>
  <c r="Y36" i="11"/>
  <c r="Z36" i="11"/>
  <c r="AH37" i="11"/>
  <c r="AI37" i="11" s="1"/>
  <c r="AP31" i="11"/>
  <c r="AE32" i="11"/>
  <c r="AH29" i="11"/>
  <c r="AI29" i="11" s="1"/>
  <c r="AF32" i="11"/>
  <c r="AR31" i="11"/>
  <c r="AQ31" i="11" s="1"/>
  <c r="AY29" i="11" s="1"/>
  <c r="AB33" i="11"/>
  <c r="AP35" i="11"/>
  <c r="AE36" i="11"/>
  <c r="AH36" i="11" s="1"/>
  <c r="AI36" i="11" s="1"/>
  <c r="AG32" i="11"/>
  <c r="AS31" i="11"/>
  <c r="AZ29" i="11" s="1"/>
  <c r="V39" i="11"/>
  <c r="U42" i="11"/>
  <c r="V42" i="11" s="1"/>
  <c r="AP36" i="11"/>
  <c r="Y40" i="11"/>
  <c r="Z40" i="11"/>
  <c r="AR39" i="11"/>
  <c r="AQ39" i="11" s="1"/>
  <c r="AY37" i="11" s="1"/>
  <c r="AF40" i="11"/>
  <c r="AB41" i="11"/>
  <c r="BA31" i="11"/>
  <c r="AX26" i="11"/>
  <c r="BA26" i="11"/>
  <c r="AS35" i="11"/>
  <c r="AZ33" i="11" s="1"/>
  <c r="AG36" i="11"/>
  <c r="K28" i="11"/>
  <c r="L28" i="11" s="1"/>
  <c r="Q28" i="11" s="1"/>
  <c r="S28" i="11" s="1"/>
  <c r="AE43" i="11"/>
  <c r="AH43" i="11" s="1"/>
  <c r="AI43" i="11" s="1"/>
  <c r="Z43" i="11"/>
  <c r="Y43" i="11"/>
  <c r="AP42" i="11" s="1"/>
  <c r="AP39" i="11"/>
  <c r="AE40" i="11"/>
  <c r="S20" i="11" l="1"/>
  <c r="S21" i="11"/>
  <c r="AX40" i="11"/>
  <c r="AH40" i="11"/>
  <c r="AI40" i="11" s="1"/>
  <c r="AX37" i="11"/>
  <c r="BA37" i="11"/>
  <c r="AG39" i="11"/>
  <c r="AE39" i="11"/>
  <c r="AG31" i="11"/>
  <c r="AS30" i="11"/>
  <c r="AZ28" i="11" s="1"/>
  <c r="AH32" i="11"/>
  <c r="AI32" i="11" s="1"/>
  <c r="AP34" i="11"/>
  <c r="AE35" i="11"/>
  <c r="AX29" i="11"/>
  <c r="BA29" i="11"/>
  <c r="AG42" i="11"/>
  <c r="AE42" i="11"/>
  <c r="AX34" i="11"/>
  <c r="BA34" i="11"/>
  <c r="AB43" i="11"/>
  <c r="AF42" i="11"/>
  <c r="K29" i="11"/>
  <c r="L29" i="11" s="1"/>
  <c r="Q29" i="11" s="1"/>
  <c r="S29" i="11" s="1"/>
  <c r="Y42" i="11"/>
  <c r="Z42" i="11"/>
  <c r="AR41" i="11" s="1"/>
  <c r="AF39" i="11"/>
  <c r="AB40" i="11"/>
  <c r="Z39" i="11"/>
  <c r="AR38" i="11" s="1"/>
  <c r="AQ38" i="11" s="1"/>
  <c r="AY36" i="11" s="1"/>
  <c r="Y39" i="11"/>
  <c r="AX33" i="11"/>
  <c r="BA33" i="11"/>
  <c r="AR34" i="11"/>
  <c r="AQ34" i="11" s="1"/>
  <c r="AY32" i="11" s="1"/>
  <c r="AF35" i="11"/>
  <c r="AB36" i="11"/>
  <c r="AS34" i="11"/>
  <c r="AZ32" i="11" s="1"/>
  <c r="AG35" i="11"/>
  <c r="AR42" i="11"/>
  <c r="AQ42" i="11" s="1"/>
  <c r="AY40" i="11" s="1"/>
  <c r="AQ41" i="11" l="1"/>
  <c r="AY39" i="11" s="1"/>
  <c r="AP37" i="11"/>
  <c r="AE38" i="11"/>
  <c r="AG38" i="11"/>
  <c r="AE41" i="11"/>
  <c r="AP40" i="11"/>
  <c r="AS40" i="11"/>
  <c r="AZ38" i="11" s="1"/>
  <c r="AG41" i="11"/>
  <c r="AP41" i="11"/>
  <c r="AS33" i="11"/>
  <c r="AZ31" i="11" s="1"/>
  <c r="AG34" i="11"/>
  <c r="K30" i="11"/>
  <c r="L30" i="11" s="1"/>
  <c r="Q30" i="11" s="1"/>
  <c r="S30" i="11" s="1"/>
  <c r="AH42" i="11"/>
  <c r="AI42" i="11" s="1"/>
  <c r="AP38" i="11"/>
  <c r="AF38" i="11"/>
  <c r="AR37" i="11"/>
  <c r="AQ37" i="11" s="1"/>
  <c r="AY35" i="11" s="1"/>
  <c r="AB39" i="11"/>
  <c r="AS37" i="11" s="1"/>
  <c r="AZ35" i="11" s="1"/>
  <c r="AR40" i="11"/>
  <c r="AQ40" i="11" s="1"/>
  <c r="AY38" i="11" s="1"/>
  <c r="AF41" i="11"/>
  <c r="AB42" i="11"/>
  <c r="AS41" i="11"/>
  <c r="AZ39" i="11" s="1"/>
  <c r="AH35" i="11"/>
  <c r="AI35" i="11" s="1"/>
  <c r="AS38" i="11"/>
  <c r="AZ36" i="11" s="1"/>
  <c r="BA40" i="11"/>
  <c r="AX32" i="11"/>
  <c r="BA32" i="11"/>
  <c r="AH39" i="11"/>
  <c r="AI39" i="11" s="1"/>
  <c r="AS39" i="11" l="1"/>
  <c r="AZ37" i="11" s="1"/>
  <c r="AG40" i="11"/>
  <c r="K31" i="11"/>
  <c r="L31" i="11" s="1"/>
  <c r="Q31" i="11" s="1"/>
  <c r="S31" i="11" s="1"/>
  <c r="AX39" i="11"/>
  <c r="BA39" i="11"/>
  <c r="AH41" i="11"/>
  <c r="AI41" i="11" s="1"/>
  <c r="AX35" i="11"/>
  <c r="BA35" i="11"/>
  <c r="AR5" i="11"/>
  <c r="AX36" i="11"/>
  <c r="BA36" i="11"/>
  <c r="AR6" i="11"/>
  <c r="AG37" i="11"/>
  <c r="AS36" i="11"/>
  <c r="AZ34" i="11" s="1"/>
  <c r="AX38" i="11"/>
  <c r="BA38" i="11"/>
  <c r="AH38" i="11"/>
  <c r="AI38" i="11" s="1"/>
  <c r="K32" i="11" l="1"/>
  <c r="L32" i="11" s="1"/>
  <c r="Q32" i="11" s="1"/>
  <c r="S32" i="11" s="1"/>
  <c r="AQ15" i="11"/>
  <c r="K33" i="11" l="1"/>
  <c r="L33" i="11" s="1"/>
  <c r="Q33" i="11" s="1"/>
  <c r="S33" i="11" s="1"/>
  <c r="K34" i="11" l="1"/>
  <c r="L34" i="11" s="1"/>
  <c r="Q34" i="11" s="1"/>
  <c r="S34" i="11" s="1"/>
  <c r="K35" i="11" l="1"/>
  <c r="L35" i="11" s="1"/>
  <c r="Q35" i="11" s="1"/>
  <c r="S35" i="11" s="1"/>
  <c r="K36" i="11" l="1"/>
  <c r="L36" i="11" s="1"/>
  <c r="Q36" i="11" s="1"/>
  <c r="S36" i="11" s="1"/>
  <c r="K37" i="11" l="1"/>
  <c r="L37" i="11" s="1"/>
  <c r="Q37" i="11" s="1"/>
  <c r="S37" i="11" s="1"/>
  <c r="K38" i="11" l="1"/>
  <c r="L38" i="11" s="1"/>
  <c r="Q38" i="11" s="1"/>
  <c r="S38" i="11" s="1"/>
  <c r="K39" i="11" l="1"/>
  <c r="L39" i="11" s="1"/>
  <c r="Q39" i="11" s="1"/>
  <c r="S39" i="11" s="1"/>
  <c r="K40" i="11" l="1"/>
  <c r="L40" i="11" s="1"/>
  <c r="Q40" i="11" s="1"/>
  <c r="S40" i="11" s="1"/>
  <c r="K41" i="11" l="1"/>
  <c r="L41" i="11" s="1"/>
  <c r="Q41" i="11" s="1"/>
  <c r="S41" i="11" s="1"/>
  <c r="K42" i="11" l="1"/>
  <c r="L42" i="11" s="1"/>
  <c r="Q42" i="11" s="1"/>
  <c r="S42" i="11" s="1"/>
  <c r="K43" i="11" l="1"/>
  <c r="L43" i="11" s="1"/>
  <c r="Q43" i="11" s="1"/>
  <c r="S43" i="11" s="1"/>
  <c r="K44" i="11"/>
  <c r="L44" i="11" s="1"/>
  <c r="Q44" i="11" s="1"/>
  <c r="S44" i="11" l="1"/>
  <c r="J5" i="9" l="1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I24" i="9"/>
  <c r="I25" i="9"/>
  <c r="I26" i="9"/>
  <c r="I27" i="9"/>
  <c r="I39" i="9" s="1"/>
  <c r="I51" i="9" s="1"/>
  <c r="I63" i="9" s="1"/>
  <c r="I75" i="9" s="1"/>
  <c r="I28" i="9"/>
  <c r="I29" i="9"/>
  <c r="I30" i="9"/>
  <c r="I31" i="9"/>
  <c r="I32" i="9"/>
  <c r="I33" i="9"/>
  <c r="I34" i="9"/>
  <c r="I35" i="9"/>
  <c r="I36" i="9"/>
  <c r="I37" i="9"/>
  <c r="I38" i="9"/>
  <c r="I40" i="9"/>
  <c r="I41" i="9"/>
  <c r="I42" i="9"/>
  <c r="I43" i="9"/>
  <c r="I44" i="9"/>
  <c r="I45" i="9"/>
  <c r="I46" i="9"/>
  <c r="I47" i="9"/>
  <c r="I48" i="9"/>
  <c r="I49" i="9"/>
  <c r="I50" i="9"/>
  <c r="I52" i="9"/>
  <c r="I53" i="9"/>
  <c r="I54" i="9"/>
  <c r="I55" i="9"/>
  <c r="I56" i="9"/>
  <c r="I57" i="9"/>
  <c r="I58" i="9"/>
  <c r="I59" i="9"/>
  <c r="I60" i="9"/>
  <c r="I61" i="9"/>
  <c r="I62" i="9"/>
  <c r="I64" i="9"/>
  <c r="I65" i="9"/>
  <c r="I66" i="9"/>
  <c r="I67" i="9"/>
  <c r="I68" i="9"/>
  <c r="I69" i="9"/>
  <c r="I70" i="9"/>
  <c r="I71" i="9"/>
  <c r="I72" i="9"/>
  <c r="I73" i="9"/>
  <c r="I74" i="9"/>
  <c r="I76" i="9"/>
  <c r="I77" i="9"/>
  <c r="I78" i="9"/>
  <c r="I79" i="9"/>
  <c r="I80" i="9"/>
  <c r="I81" i="9"/>
  <c r="I82" i="9"/>
  <c r="I83" i="9"/>
  <c r="I84" i="9"/>
  <c r="I85" i="9"/>
  <c r="I86" i="9"/>
  <c r="I23" i="9"/>
  <c r="I5" i="9"/>
  <c r="I6" i="9"/>
  <c r="I7" i="9"/>
  <c r="I8" i="9"/>
  <c r="I9" i="9"/>
  <c r="I10" i="9"/>
  <c r="G12" i="9"/>
  <c r="G13" i="9"/>
  <c r="G14" i="9"/>
  <c r="G15" i="9"/>
  <c r="G16" i="9"/>
  <c r="G17" i="9"/>
  <c r="G18" i="9"/>
  <c r="G19" i="9"/>
  <c r="G20" i="9"/>
  <c r="G21" i="9"/>
  <c r="G22" i="9"/>
  <c r="G11" i="9"/>
  <c r="L12" i="9"/>
  <c r="L11" i="9"/>
  <c r="B6" i="9"/>
  <c r="C6" i="9"/>
  <c r="B7" i="9"/>
  <c r="C7" i="9"/>
  <c r="B8" i="9"/>
  <c r="C8" i="9"/>
  <c r="B9" i="9"/>
  <c r="C9" i="9"/>
  <c r="B10" i="9"/>
  <c r="C10" i="9"/>
  <c r="B11" i="9"/>
  <c r="C11" i="9"/>
  <c r="B12" i="9"/>
  <c r="C12" i="9"/>
  <c r="B13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B32" i="9"/>
  <c r="C32" i="9"/>
  <c r="B33" i="9"/>
  <c r="C33" i="9"/>
  <c r="B34" i="9"/>
  <c r="C34" i="9"/>
  <c r="B35" i="9"/>
  <c r="C35" i="9"/>
  <c r="B36" i="9"/>
  <c r="C36" i="9"/>
  <c r="B37" i="9"/>
  <c r="C37" i="9"/>
  <c r="B38" i="9"/>
  <c r="C38" i="9"/>
  <c r="B39" i="9"/>
  <c r="C39" i="9"/>
  <c r="B40" i="9"/>
  <c r="C40" i="9"/>
  <c r="B41" i="9"/>
  <c r="C41" i="9"/>
  <c r="B42" i="9"/>
  <c r="C42" i="9"/>
  <c r="B43" i="9"/>
  <c r="C43" i="9"/>
  <c r="B44" i="9"/>
  <c r="C44" i="9"/>
  <c r="B45" i="9"/>
  <c r="C45" i="9"/>
  <c r="B46" i="9"/>
  <c r="C46" i="9"/>
  <c r="B47" i="9"/>
  <c r="C47" i="9"/>
  <c r="B48" i="9"/>
  <c r="C48" i="9"/>
  <c r="B49" i="9"/>
  <c r="C49" i="9"/>
  <c r="B50" i="9"/>
  <c r="C50" i="9"/>
  <c r="B51" i="9"/>
  <c r="C51" i="9"/>
  <c r="B52" i="9"/>
  <c r="C52" i="9"/>
  <c r="B53" i="9"/>
  <c r="C53" i="9"/>
  <c r="B54" i="9"/>
  <c r="C54" i="9"/>
  <c r="B55" i="9"/>
  <c r="C55" i="9"/>
  <c r="B56" i="9"/>
  <c r="C56" i="9"/>
  <c r="B57" i="9"/>
  <c r="C57" i="9"/>
  <c r="B58" i="9"/>
  <c r="C58" i="9"/>
  <c r="B59" i="9"/>
  <c r="C59" i="9"/>
  <c r="B60" i="9"/>
  <c r="C60" i="9"/>
  <c r="B61" i="9"/>
  <c r="C61" i="9"/>
  <c r="B62" i="9"/>
  <c r="C62" i="9"/>
  <c r="B63" i="9"/>
  <c r="C63" i="9"/>
  <c r="B64" i="9"/>
  <c r="C64" i="9"/>
  <c r="B65" i="9"/>
  <c r="C65" i="9"/>
  <c r="B66" i="9"/>
  <c r="C66" i="9"/>
  <c r="B67" i="9"/>
  <c r="C67" i="9"/>
  <c r="B68" i="9"/>
  <c r="C68" i="9"/>
  <c r="B69" i="9"/>
  <c r="C69" i="9"/>
  <c r="B70" i="9"/>
  <c r="C70" i="9"/>
  <c r="B71" i="9"/>
  <c r="C71" i="9"/>
  <c r="B72" i="9"/>
  <c r="C72" i="9"/>
  <c r="B73" i="9"/>
  <c r="C73" i="9"/>
  <c r="B74" i="9"/>
  <c r="C74" i="9"/>
  <c r="B75" i="9"/>
  <c r="C75" i="9"/>
  <c r="B76" i="9"/>
  <c r="C76" i="9"/>
  <c r="B77" i="9"/>
  <c r="C77" i="9"/>
  <c r="B78" i="9"/>
  <c r="C78" i="9"/>
  <c r="B79" i="9"/>
  <c r="C79" i="9"/>
  <c r="B80" i="9"/>
  <c r="C80" i="9"/>
  <c r="B81" i="9"/>
  <c r="C81" i="9"/>
  <c r="B82" i="9"/>
  <c r="C82" i="9"/>
  <c r="B83" i="9"/>
  <c r="C83" i="9"/>
  <c r="B84" i="9"/>
  <c r="C84" i="9"/>
  <c r="B85" i="9"/>
  <c r="C85" i="9"/>
  <c r="B86" i="9"/>
  <c r="C86" i="9"/>
  <c r="C5" i="9"/>
  <c r="B5" i="9"/>
  <c r="D58" i="9" l="1"/>
  <c r="D34" i="9"/>
  <c r="D76" i="9"/>
  <c r="D79" i="9"/>
  <c r="D74" i="9"/>
  <c r="D62" i="9"/>
  <c r="D46" i="9"/>
  <c r="D42" i="9"/>
  <c r="D18" i="9"/>
  <c r="D36" i="9"/>
  <c r="D39" i="9"/>
  <c r="D37" i="9"/>
  <c r="D28" i="9"/>
  <c r="D27" i="9"/>
  <c r="D29" i="9"/>
  <c r="D80" i="9"/>
  <c r="D69" i="9"/>
  <c r="D64" i="9"/>
  <c r="D67" i="9"/>
  <c r="D65" i="9"/>
  <c r="D48" i="9"/>
  <c r="D51" i="9"/>
  <c r="D49" i="9"/>
  <c r="D30" i="9"/>
  <c r="D32" i="9"/>
  <c r="D35" i="9"/>
  <c r="E35" i="9" s="1"/>
  <c r="F35" i="9" s="1"/>
  <c r="D33" i="9"/>
  <c r="D14" i="9"/>
  <c r="D17" i="9"/>
  <c r="E17" i="9" s="1"/>
  <c r="F17" i="9" s="1"/>
  <c r="D15" i="9"/>
  <c r="D13" i="9"/>
  <c r="D11" i="9"/>
  <c r="D75" i="9"/>
  <c r="D72" i="9"/>
  <c r="D71" i="9"/>
  <c r="D52" i="9"/>
  <c r="D55" i="9"/>
  <c r="D53" i="9"/>
  <c r="D77" i="9"/>
  <c r="D73" i="9"/>
  <c r="E73" i="9" s="1"/>
  <c r="F73" i="9" s="1"/>
  <c r="D66" i="9"/>
  <c r="D60" i="9"/>
  <c r="D63" i="9"/>
  <c r="E62" i="9" s="1"/>
  <c r="F62" i="9" s="1"/>
  <c r="D61" i="9"/>
  <c r="D44" i="9"/>
  <c r="D47" i="9"/>
  <c r="E47" i="9" s="1"/>
  <c r="F47" i="9" s="1"/>
  <c r="D45" i="9"/>
  <c r="D26" i="9"/>
  <c r="D31" i="9"/>
  <c r="E31" i="9" s="1"/>
  <c r="F31" i="9" s="1"/>
  <c r="D20" i="9"/>
  <c r="D21" i="9"/>
  <c r="D19" i="9"/>
  <c r="D50" i="9"/>
  <c r="D81" i="9"/>
  <c r="D78" i="9"/>
  <c r="D70" i="9"/>
  <c r="D68" i="9"/>
  <c r="E68" i="9" s="1"/>
  <c r="F68" i="9" s="1"/>
  <c r="D54" i="9"/>
  <c r="D56" i="9"/>
  <c r="D59" i="9"/>
  <c r="D57" i="9"/>
  <c r="E57" i="9" s="1"/>
  <c r="F57" i="9" s="1"/>
  <c r="D38" i="9"/>
  <c r="D40" i="9"/>
  <c r="D43" i="9"/>
  <c r="D41" i="9"/>
  <c r="D22" i="9"/>
  <c r="D24" i="9"/>
  <c r="D23" i="9"/>
  <c r="D25" i="9"/>
  <c r="D16" i="9"/>
  <c r="E16" i="9" s="1"/>
  <c r="F16" i="9" s="1"/>
  <c r="D12" i="9"/>
  <c r="E78" i="9" l="1"/>
  <c r="F78" i="9" s="1"/>
  <c r="E33" i="9"/>
  <c r="F33" i="9" s="1"/>
  <c r="E25" i="9"/>
  <c r="F25" i="9" s="1"/>
  <c r="E54" i="9"/>
  <c r="F54" i="9" s="1"/>
  <c r="E20" i="9"/>
  <c r="F20" i="9" s="1"/>
  <c r="E41" i="9"/>
  <c r="F41" i="9" s="1"/>
  <c r="E26" i="9"/>
  <c r="F26" i="9" s="1"/>
  <c r="E61" i="9"/>
  <c r="F61" i="9" s="1"/>
  <c r="E75" i="9"/>
  <c r="F75" i="9" s="1"/>
  <c r="E45" i="9"/>
  <c r="F45" i="9" s="1"/>
  <c r="E11" i="9"/>
  <c r="F11" i="9" s="1"/>
  <c r="E30" i="9"/>
  <c r="F30" i="9" s="1"/>
  <c r="E12" i="9"/>
  <c r="F12" i="9" s="1"/>
  <c r="E66" i="9"/>
  <c r="F66" i="9" s="1"/>
  <c r="E55" i="9"/>
  <c r="F55" i="9" s="1"/>
  <c r="E13" i="9"/>
  <c r="F13" i="9" s="1"/>
  <c r="E43" i="9"/>
  <c r="F43" i="9" s="1"/>
  <c r="E59" i="9"/>
  <c r="F59" i="9" s="1"/>
  <c r="E70" i="9"/>
  <c r="F70" i="9" s="1"/>
  <c r="E19" i="9"/>
  <c r="F19" i="9" s="1"/>
  <c r="E58" i="9"/>
  <c r="F58" i="9" s="1"/>
  <c r="E15" i="9"/>
  <c r="F15" i="9" s="1"/>
  <c r="E51" i="9"/>
  <c r="F51" i="9" s="1"/>
  <c r="E65" i="9"/>
  <c r="F65" i="9" s="1"/>
  <c r="E64" i="9"/>
  <c r="F64" i="9" s="1"/>
  <c r="E29" i="9"/>
  <c r="F29" i="9" s="1"/>
  <c r="E28" i="9"/>
  <c r="F28" i="9" s="1"/>
  <c r="E39" i="9"/>
  <c r="F39" i="9" s="1"/>
  <c r="E46" i="9"/>
  <c r="F46" i="9" s="1"/>
  <c r="E23" i="9"/>
  <c r="F23" i="9" s="1"/>
  <c r="E22" i="9"/>
  <c r="F22" i="9" s="1"/>
  <c r="E38" i="9"/>
  <c r="F38" i="9" s="1"/>
  <c r="E21" i="9"/>
  <c r="F21" i="9" s="1"/>
  <c r="E60" i="9"/>
  <c r="F60" i="9" s="1"/>
  <c r="E77" i="9"/>
  <c r="F77" i="9" s="1"/>
  <c r="E14" i="9"/>
  <c r="F14" i="9" s="1"/>
  <c r="E27" i="9"/>
  <c r="F27" i="9" s="1"/>
  <c r="E74" i="9"/>
  <c r="F74" i="9" s="1"/>
  <c r="E50" i="9"/>
  <c r="F50" i="9" s="1"/>
  <c r="E44" i="9"/>
  <c r="F44" i="9" s="1"/>
  <c r="E53" i="9"/>
  <c r="F53" i="9" s="1"/>
  <c r="E52" i="9"/>
  <c r="F52" i="9" s="1"/>
  <c r="E72" i="9"/>
  <c r="F72" i="9" s="1"/>
  <c r="E49" i="9"/>
  <c r="F49" i="9" s="1"/>
  <c r="E48" i="9"/>
  <c r="F48" i="9" s="1"/>
  <c r="E67" i="9"/>
  <c r="F67" i="9" s="1"/>
  <c r="E69" i="9"/>
  <c r="F69" i="9" s="1"/>
  <c r="E80" i="9"/>
  <c r="F80" i="9" s="1"/>
  <c r="E37" i="9"/>
  <c r="F37" i="9" s="1"/>
  <c r="E36" i="9"/>
  <c r="F36" i="9" s="1"/>
  <c r="E76" i="9"/>
  <c r="F76" i="9" s="1"/>
  <c r="E24" i="9"/>
  <c r="F24" i="9" s="1"/>
  <c r="E40" i="9"/>
  <c r="F40" i="9" s="1"/>
  <c r="E56" i="9"/>
  <c r="F56" i="9" s="1"/>
  <c r="E42" i="9"/>
  <c r="F42" i="9" s="1"/>
  <c r="E63" i="9"/>
  <c r="F63" i="9" s="1"/>
  <c r="E71" i="9"/>
  <c r="F71" i="9" s="1"/>
  <c r="E32" i="9"/>
  <c r="F32" i="9" s="1"/>
  <c r="E34" i="9"/>
  <c r="F34" i="9" s="1"/>
  <c r="E18" i="9"/>
  <c r="F18" i="9" s="1"/>
  <c r="E79" i="9"/>
  <c r="F79" i="9" s="1"/>
  <c r="H2" i="9" l="1"/>
  <c r="G3" i="9"/>
  <c r="H4" i="9" l="1"/>
  <c r="H19" i="9" s="1"/>
  <c r="I19" i="9" s="1"/>
  <c r="H12" i="9"/>
  <c r="I12" i="9" s="1"/>
  <c r="H22" i="9"/>
  <c r="I22" i="9" s="1"/>
  <c r="H18" i="9" l="1"/>
  <c r="I18" i="9" s="1"/>
  <c r="H20" i="9"/>
  <c r="I20" i="9" s="1"/>
  <c r="H13" i="9"/>
  <c r="I13" i="9" s="1"/>
  <c r="H14" i="9"/>
  <c r="I14" i="9" s="1"/>
  <c r="E11" i="1" s="1"/>
  <c r="H16" i="9"/>
  <c r="I16" i="9" s="1"/>
  <c r="E13" i="1" s="1"/>
  <c r="H11" i="9"/>
  <c r="I11" i="9" s="1"/>
  <c r="H15" i="9"/>
  <c r="I15" i="9" s="1"/>
  <c r="E12" i="1" s="1"/>
  <c r="H21" i="9"/>
  <c r="I21" i="9" s="1"/>
  <c r="H17" i="9"/>
  <c r="I17" i="9" s="1"/>
  <c r="E2" i="1" s="1"/>
  <c r="E10" i="1"/>
  <c r="E4" i="1"/>
  <c r="E16" i="1"/>
  <c r="E19" i="1"/>
  <c r="E7" i="1"/>
  <c r="E15" i="1"/>
  <c r="E3" i="1"/>
  <c r="E5" i="1"/>
  <c r="E17" i="1"/>
  <c r="E9" i="1"/>
  <c r="E18" i="1" l="1"/>
  <c r="E6" i="1"/>
  <c r="E24" i="1"/>
  <c r="H3" i="9"/>
  <c r="E26" i="1"/>
  <c r="E14" i="1"/>
  <c r="E27" i="1"/>
  <c r="E22" i="1"/>
  <c r="E29" i="1"/>
  <c r="I3" i="9"/>
  <c r="E8" i="1"/>
  <c r="E23" i="1"/>
  <c r="E21" i="1"/>
  <c r="E31" i="1"/>
  <c r="E28" i="1"/>
  <c r="E30" i="1"/>
  <c r="E25" i="1"/>
  <c r="E35" i="1" l="1"/>
  <c r="E36" i="1"/>
  <c r="E40" i="1"/>
  <c r="E33" i="1"/>
  <c r="E41" i="1"/>
  <c r="E38" i="1"/>
  <c r="E37" i="1"/>
  <c r="E42" i="1"/>
  <c r="E43" i="1"/>
  <c r="E20" i="1"/>
  <c r="E34" i="1"/>
  <c r="E39" i="1"/>
  <c r="E45" i="1" l="1"/>
  <c r="E51" i="1"/>
  <c r="E32" i="1"/>
  <c r="E54" i="1"/>
  <c r="E50" i="1"/>
  <c r="E48" i="1"/>
  <c r="E49" i="1"/>
  <c r="E53" i="1"/>
  <c r="E46" i="1"/>
  <c r="E55" i="1"/>
  <c r="E52" i="1"/>
  <c r="E47" i="1"/>
  <c r="E77" i="1" l="1"/>
  <c r="E65" i="1"/>
  <c r="E59" i="1"/>
  <c r="E79" i="1"/>
  <c r="E67" i="1"/>
  <c r="E72" i="1"/>
  <c r="E60" i="1"/>
  <c r="E66" i="1"/>
  <c r="E78" i="1"/>
  <c r="E63" i="1"/>
  <c r="E75" i="1"/>
  <c r="E61" i="1"/>
  <c r="E73" i="1"/>
  <c r="E57" i="1"/>
  <c r="E76" i="1"/>
  <c r="E64" i="1"/>
  <c r="E58" i="1"/>
  <c r="E74" i="1"/>
  <c r="E62" i="1"/>
  <c r="E44" i="1"/>
  <c r="E69" i="1" l="1"/>
  <c r="E81" i="1"/>
  <c r="E56" i="1"/>
  <c r="E70" i="1"/>
  <c r="E82" i="1"/>
  <c r="E83" i="1"/>
  <c r="E71" i="1"/>
  <c r="E80" i="1" l="1"/>
  <c r="E68" i="1"/>
  <c r="P5" i="1" l="1"/>
  <c r="P6" i="1" s="1"/>
  <c r="P7" i="1" s="1"/>
  <c r="G5" i="1"/>
  <c r="G4" i="1"/>
  <c r="F1" i="1"/>
  <c r="P8" i="1" l="1"/>
  <c r="G6" i="1"/>
  <c r="G7" i="1"/>
  <c r="P9" i="1" l="1"/>
  <c r="G8" i="1"/>
  <c r="P10" i="1" l="1"/>
  <c r="G9" i="1"/>
  <c r="P11" i="1" l="1"/>
  <c r="G10" i="1"/>
  <c r="P12" i="1" l="1"/>
  <c r="G11" i="1"/>
  <c r="P13" i="1" l="1"/>
  <c r="G12" i="1"/>
  <c r="P14" i="1" l="1"/>
  <c r="G13" i="1"/>
  <c r="P15" i="1" l="1"/>
  <c r="G14" i="1"/>
  <c r="Q4" i="1" l="1"/>
  <c r="G15" i="1"/>
  <c r="Q5" i="1" l="1"/>
  <c r="H4" i="1"/>
  <c r="Q6" i="1" l="1"/>
  <c r="H5" i="1"/>
  <c r="Q7" i="1" l="1"/>
  <c r="H6" i="1"/>
  <c r="Q8" i="1" l="1"/>
  <c r="H7" i="1"/>
  <c r="Q9" i="1" l="1"/>
  <c r="H8" i="1"/>
  <c r="Q10" i="1" l="1"/>
  <c r="H9" i="1"/>
  <c r="Q11" i="1" l="1"/>
  <c r="H10" i="1"/>
  <c r="Q12" i="1" l="1"/>
  <c r="H11" i="1"/>
  <c r="Q13" i="1" l="1"/>
  <c r="H12" i="1"/>
  <c r="Q14" i="1" l="1"/>
  <c r="H13" i="1"/>
  <c r="Q15" i="1" l="1"/>
  <c r="H14" i="1"/>
  <c r="R4" i="1" l="1"/>
  <c r="H15" i="1"/>
  <c r="R5" i="1" l="1"/>
  <c r="I4" i="1"/>
  <c r="R6" i="1" l="1"/>
  <c r="I5" i="1"/>
  <c r="R7" i="1" l="1"/>
  <c r="I6" i="1"/>
  <c r="R8" i="1" l="1"/>
  <c r="I7" i="1"/>
  <c r="R9" i="1" l="1"/>
  <c r="I8" i="1"/>
  <c r="R10" i="1" l="1"/>
  <c r="I9" i="1"/>
  <c r="R11" i="1" l="1"/>
  <c r="I10" i="1"/>
  <c r="R12" i="1" l="1"/>
  <c r="I11" i="1"/>
  <c r="R13" i="1" l="1"/>
  <c r="I12" i="1"/>
  <c r="R14" i="1" l="1"/>
  <c r="I13" i="1"/>
  <c r="R15" i="1" l="1"/>
  <c r="I14" i="1"/>
  <c r="S4" i="1" l="1"/>
  <c r="I15" i="1"/>
  <c r="S5" i="1" l="1"/>
  <c r="J4" i="1"/>
  <c r="S6" i="1" l="1"/>
  <c r="J5" i="1"/>
  <c r="S7" i="1" l="1"/>
  <c r="J6" i="1"/>
  <c r="S8" i="1" l="1"/>
  <c r="J7" i="1"/>
  <c r="S9" i="1" l="1"/>
  <c r="J8" i="1"/>
  <c r="S10" i="1" l="1"/>
  <c r="J9" i="1"/>
  <c r="S11" i="1" l="1"/>
  <c r="J10" i="1"/>
  <c r="S12" i="1" l="1"/>
  <c r="J11" i="1"/>
  <c r="S13" i="1" l="1"/>
  <c r="J12" i="1"/>
  <c r="S14" i="1" l="1"/>
  <c r="J13" i="1"/>
  <c r="S15" i="1" l="1"/>
  <c r="J14" i="1"/>
  <c r="T4" i="1" l="1"/>
  <c r="J15" i="1"/>
  <c r="T5" i="1" l="1"/>
  <c r="K4" i="1"/>
  <c r="T6" i="1" l="1"/>
  <c r="K5" i="1"/>
  <c r="T7" i="1" l="1"/>
  <c r="K6" i="1"/>
  <c r="T8" i="1" l="1"/>
  <c r="K7" i="1"/>
  <c r="T9" i="1" l="1"/>
  <c r="K8" i="1"/>
  <c r="T10" i="1" l="1"/>
  <c r="K9" i="1"/>
  <c r="T11" i="1" l="1"/>
  <c r="K10" i="1"/>
  <c r="T12" i="1" l="1"/>
  <c r="K11" i="1"/>
  <c r="T13" i="1" l="1"/>
  <c r="K12" i="1"/>
  <c r="T14" i="1" l="1"/>
  <c r="K13" i="1"/>
  <c r="T15" i="1" l="1"/>
  <c r="K14" i="1"/>
  <c r="U4" i="1" l="1"/>
  <c r="K15" i="1"/>
  <c r="U5" i="1" l="1"/>
  <c r="L4" i="1"/>
  <c r="U6" i="1" l="1"/>
  <c r="L5" i="1"/>
  <c r="U7" i="1" l="1"/>
  <c r="L6" i="1"/>
  <c r="U8" i="1" l="1"/>
  <c r="L7" i="1"/>
  <c r="U9" i="1" l="1"/>
  <c r="L8" i="1"/>
  <c r="U10" i="1" l="1"/>
  <c r="L9" i="1"/>
  <c r="U11" i="1" l="1"/>
  <c r="L10" i="1"/>
  <c r="U12" i="1" l="1"/>
  <c r="L11" i="1"/>
  <c r="U13" i="1" l="1"/>
  <c r="L12" i="1"/>
  <c r="U14" i="1" l="1"/>
  <c r="L13" i="1"/>
  <c r="U15" i="1" l="1"/>
  <c r="L14" i="1"/>
  <c r="V4" i="1" l="1"/>
  <c r="L15" i="1"/>
  <c r="V5" i="1" l="1"/>
  <c r="M4" i="1"/>
  <c r="V6" i="1" l="1"/>
  <c r="M5" i="1"/>
  <c r="V7" i="1" l="1"/>
  <c r="M6" i="1"/>
  <c r="V8" i="1" l="1"/>
  <c r="M7" i="1"/>
  <c r="V9" i="1" l="1"/>
  <c r="M8" i="1"/>
  <c r="V10" i="1" l="1"/>
  <c r="M9" i="1"/>
  <c r="V11" i="1" l="1"/>
  <c r="M10" i="1"/>
  <c r="V12" i="1" l="1"/>
  <c r="M11" i="1"/>
  <c r="V13" i="1" l="1"/>
  <c r="M12" i="1"/>
  <c r="V14" i="1" l="1"/>
  <c r="V15" i="1" s="1"/>
  <c r="W4" i="1" s="1"/>
  <c r="W5" i="1" s="1"/>
  <c r="W6" i="1" s="1"/>
  <c r="W7" i="1" s="1"/>
  <c r="W8" i="1" s="1"/>
  <c r="W9" i="1" s="1"/>
  <c r="W10" i="1" s="1"/>
  <c r="W11" i="1" s="1"/>
  <c r="W12" i="1" s="1"/>
  <c r="M13" i="1"/>
</calcChain>
</file>

<file path=xl/sharedStrings.xml><?xml version="1.0" encoding="utf-8"?>
<sst xmlns="http://schemas.openxmlformats.org/spreadsheetml/2006/main" count="183" uniqueCount="106">
  <si>
    <t>Year</t>
  </si>
  <si>
    <t>Month</t>
  </si>
  <si>
    <t>Property Tax</t>
  </si>
  <si>
    <t>Overlapping</t>
  </si>
  <si>
    <t>Period from Start</t>
  </si>
  <si>
    <t>12MA</t>
  </si>
  <si>
    <t>2MA</t>
  </si>
  <si>
    <t>Seasonal Ratios</t>
  </si>
  <si>
    <t>Averaged Seasonals</t>
  </si>
  <si>
    <t>Normalized Seasonals</t>
  </si>
  <si>
    <t>Dampened Seasonals</t>
  </si>
  <si>
    <t>Deseasonalized</t>
  </si>
  <si>
    <t>d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</si>
  <si>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</si>
  <si>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</si>
  <si>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</si>
  <si>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</si>
  <si>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</si>
  <si>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</si>
  <si>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</si>
  <si>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</si>
  <si>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</si>
  <si>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</si>
  <si>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</si>
  <si>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</si>
  <si>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Overlay</t>
  </si>
  <si>
    <t>Fiscal 2007</t>
  </si>
  <si>
    <t>Fiscal 2008</t>
  </si>
  <si>
    <t>Fiscal 2009</t>
  </si>
  <si>
    <t>Fiscal 2010</t>
  </si>
  <si>
    <t>Fiscal 2011</t>
  </si>
  <si>
    <t>Fiscal 2012</t>
  </si>
  <si>
    <t>Fiscal 2013</t>
  </si>
  <si>
    <t>Desasonalized Property Tax</t>
  </si>
  <si>
    <t>Antilog Predicted</t>
  </si>
  <si>
    <t>Residuals</t>
  </si>
  <si>
    <t>Predicted Log Revenue</t>
  </si>
  <si>
    <t>Observation</t>
  </si>
  <si>
    <t>Durbin Watson</t>
  </si>
  <si>
    <t>RESIDUAL OUTPUT</t>
  </si>
  <si>
    <t>Thousand Gallons Per Cap/Lag 1</t>
  </si>
  <si>
    <t>Log Rev Per Gal/Lag 1</t>
  </si>
  <si>
    <t>Intercept</t>
  </si>
  <si>
    <t>Upper 95.0%</t>
  </si>
  <si>
    <t>Lower 95.0%</t>
  </si>
  <si>
    <t>Upper 95%</t>
  </si>
  <si>
    <t>Lower 95%</t>
  </si>
  <si>
    <t>P-value</t>
  </si>
  <si>
    <t>t Stat</t>
  </si>
  <si>
    <t>Standard Error</t>
  </si>
  <si>
    <t>Coefficients</t>
  </si>
  <si>
    <t>Total</t>
  </si>
  <si>
    <t>Residual</t>
  </si>
  <si>
    <t>Regression</t>
  </si>
  <si>
    <t>Significance F</t>
  </si>
  <si>
    <t>F</t>
  </si>
  <si>
    <t>MS</t>
  </si>
  <si>
    <t>SS</t>
  </si>
  <si>
    <t>df</t>
  </si>
  <si>
    <t>ANOVA</t>
  </si>
  <si>
    <t>Observations</t>
  </si>
  <si>
    <t>Adjusted R Square</t>
  </si>
  <si>
    <t>R Square</t>
  </si>
  <si>
    <t>Multiple R</t>
  </si>
  <si>
    <t>Dif Tho Gal/Cap Lag1</t>
  </si>
  <si>
    <t>Regression Statistics</t>
  </si>
  <si>
    <t>Regression Model</t>
  </si>
  <si>
    <t>Dif Rev per Tho Gal</t>
  </si>
  <si>
    <t>SUMMARY OUTPUT</t>
  </si>
  <si>
    <t>Predicted (Change to Next year)</t>
  </si>
  <si>
    <t>Differenced Revenue</t>
  </si>
  <si>
    <t>Differenced Thousand Gallons Per Cap/Lag 1</t>
  </si>
  <si>
    <t>Differenced Rev Per 1000 Gal/Lag 1</t>
  </si>
  <si>
    <t>Antilog</t>
  </si>
  <si>
    <t>Predicted</t>
  </si>
  <si>
    <t>Log Revenue</t>
  </si>
  <si>
    <t>Water &amp; Sewer Revenue</t>
  </si>
  <si>
    <t>Population</t>
  </si>
  <si>
    <t>Gallons Per Person</t>
  </si>
  <si>
    <t>Revenue Per Gallon</t>
  </si>
  <si>
    <t>Cost Per Aggregate  GPPD</t>
  </si>
  <si>
    <t>Cost Per Water  GPPD</t>
  </si>
  <si>
    <t>W&amp;S Per Person</t>
  </si>
  <si>
    <t>Water and Sewer</t>
  </si>
  <si>
    <t>Total GGPD</t>
  </si>
  <si>
    <t>WasteWater GPPD</t>
  </si>
  <si>
    <t>WasteWater MGPD/Capacity</t>
  </si>
  <si>
    <t>Gallons Per Person Day</t>
  </si>
  <si>
    <t>Corrected Population</t>
  </si>
  <si>
    <t>Implied Population</t>
  </si>
  <si>
    <t>(Gallons per person per day)*</t>
  </si>
  <si>
    <t>(Million gallons per day)</t>
  </si>
  <si>
    <t>Decomposed Water and Sewer Revenue</t>
  </si>
  <si>
    <t>From multiple CAFRS, latest available data</t>
  </si>
  <si>
    <t>Per Capita</t>
  </si>
  <si>
    <t>NYC Consumption</t>
  </si>
  <si>
    <t>Consumption</t>
  </si>
  <si>
    <t>Demographic, Financial &amp; Other Trends</t>
  </si>
  <si>
    <t>Comptroller’s Report for Fiscal 2003 Part III—Statistical Information</t>
  </si>
  <si>
    <t>http://www.nyc.gov/html/dep/html/drinking_water/droughthist.shtml</t>
  </si>
  <si>
    <t>Predicted Differenced Revenue</t>
  </si>
  <si>
    <t>DW</t>
  </si>
  <si>
    <t>Differenced Thousand Gallons Per Cap/Lag 1Corrected</t>
  </si>
  <si>
    <t>Graphs are included as tabs, as are some tables</t>
  </si>
  <si>
    <t>Figure Number</t>
  </si>
  <si>
    <t>The figures listed below can be found in named ranges.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</si>
</sst>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000"/>
    <numFmt numFmtId="166" formatCode="0.000"/>
    <numFmt numFmtId="167" formatCode="0.0000000"/>
    <numFmt numFmtId="168" formatCode="[$-409]mmm\-yy;@"/>
    <numFmt numFmtId="169" formatCode="_(* #,##0.0_);_(* \(#,##0.0\);_(* &quot;-&quot;??_);_(@_)"/>
    <numFmt numFmtId="170" formatCode="0.0"/>
    <numFmt numFmtId="171" formatCode="0.000000"/>
    <numFmt numFmtId="172" formatCode="0.00000"/>
    <numFmt numFmtId="173" formatCode="_(* #,##0_);_(* \(#,##0\);_(* &quot;-&quot;????_);_(@_)"/>
    <numFmt numFmtId="174" formatCode="0.00000000"/>
    <numFmt numFmtId="175" formatCode="0.E+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64" fontId="0" fillId="0" borderId="0" xfId="0" applyNumberFormat="1"/>
    <xf numFmtId="164" fontId="0" fillId="0" borderId="0" xfId="1" applyNumberFormat="1" applyFont="1"/>
    <xf numFmtId="14" fontId="0" fillId="0" borderId="0" xfId="0" applyNumberFormat="1" applyAlignment="1">
      <alignment horizontal="right"/>
    </xf>
    <xf numFmtId="166" fontId="0" fillId="0" borderId="0" xfId="0" applyNumberFormat="1"/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68" fontId="0" fillId="0" borderId="0" xfId="0" applyNumberFormat="1" applyAlignment="1">
      <alignment horizontal="right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2"/>
    <xf numFmtId="0" fontId="3" fillId="0" borderId="9" xfId="2" applyBorder="1"/>
    <xf numFmtId="0" fontId="3" fillId="0" borderId="8" xfId="2" applyBorder="1"/>
    <xf numFmtId="0" fontId="3" fillId="0" borderId="7" xfId="2" applyBorder="1"/>
    <xf numFmtId="0" fontId="3" fillId="0" borderId="6" xfId="2" applyBorder="1"/>
    <xf numFmtId="0" fontId="3" fillId="0" borderId="0" xfId="2" applyBorder="1"/>
    <xf numFmtId="0" fontId="3" fillId="0" borderId="5" xfId="2" applyBorder="1"/>
    <xf numFmtId="0" fontId="3" fillId="0" borderId="4" xfId="2" applyBorder="1"/>
    <xf numFmtId="0" fontId="3" fillId="0" borderId="3" xfId="2" applyBorder="1"/>
    <xf numFmtId="0" fontId="3" fillId="0" borderId="2" xfId="2" applyBorder="1"/>
    <xf numFmtId="164" fontId="0" fillId="0" borderId="0" xfId="3" applyNumberFormat="1" applyFont="1"/>
    <xf numFmtId="164" fontId="0" fillId="0" borderId="9" xfId="3" applyNumberFormat="1" applyFont="1" applyBorder="1"/>
    <xf numFmtId="171" fontId="3" fillId="0" borderId="9" xfId="2" applyNumberFormat="1" applyBorder="1"/>
    <xf numFmtId="172" fontId="3" fillId="0" borderId="7" xfId="2" applyNumberFormat="1" applyBorder="1"/>
    <xf numFmtId="0" fontId="3" fillId="0" borderId="8" xfId="2" applyNumberFormat="1" applyFill="1" applyBorder="1" applyAlignment="1"/>
    <xf numFmtId="0" fontId="3" fillId="0" borderId="7" xfId="2" applyFill="1" applyBorder="1" applyAlignment="1"/>
    <xf numFmtId="164" fontId="0" fillId="0" borderId="6" xfId="3" applyNumberFormat="1" applyFont="1" applyBorder="1"/>
    <xf numFmtId="171" fontId="3" fillId="0" borderId="6" xfId="2" applyNumberFormat="1" applyBorder="1"/>
    <xf numFmtId="172" fontId="3" fillId="0" borderId="5" xfId="2" applyNumberFormat="1" applyBorder="1"/>
    <xf numFmtId="0" fontId="3" fillId="0" borderId="0" xfId="2" applyNumberFormat="1" applyFill="1" applyBorder="1" applyAlignment="1"/>
    <xf numFmtId="0" fontId="3" fillId="0" borderId="5" xfId="2" applyFill="1" applyBorder="1" applyAlignment="1"/>
    <xf numFmtId="171" fontId="3" fillId="0" borderId="4" xfId="2" applyNumberFormat="1" applyBorder="1"/>
    <xf numFmtId="0" fontId="3" fillId="0" borderId="0" xfId="2" applyAlignment="1">
      <alignment wrapText="1"/>
    </xf>
    <xf numFmtId="0" fontId="4" fillId="0" borderId="0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3" fillId="0" borderId="0" xfId="2" applyBorder="1" applyAlignment="1">
      <alignment wrapText="1"/>
    </xf>
    <xf numFmtId="172" fontId="3" fillId="0" borderId="1" xfId="2" applyNumberFormat="1" applyBorder="1" applyAlignment="1">
      <alignment wrapText="1"/>
    </xf>
    <xf numFmtId="0" fontId="5" fillId="0" borderId="13" xfId="2" applyFont="1" applyFill="1" applyBorder="1" applyAlignment="1">
      <alignment horizontal="center"/>
    </xf>
    <xf numFmtId="0" fontId="5" fillId="0" borderId="13" xfId="2" applyFont="1" applyFill="1" applyBorder="1" applyAlignment="1">
      <alignment horizontal="center" wrapText="1"/>
    </xf>
    <xf numFmtId="0" fontId="5" fillId="0" borderId="14" xfId="2" applyFont="1" applyFill="1" applyBorder="1" applyAlignment="1">
      <alignment horizontal="center"/>
    </xf>
    <xf numFmtId="172" fontId="3" fillId="0" borderId="0" xfId="2" applyNumberFormat="1" applyBorder="1"/>
    <xf numFmtId="166" fontId="3" fillId="0" borderId="15" xfId="2" applyNumberFormat="1" applyBorder="1"/>
    <xf numFmtId="3" fontId="3" fillId="0" borderId="0" xfId="2" applyNumberFormat="1"/>
    <xf numFmtId="166" fontId="3" fillId="0" borderId="9" xfId="2" applyNumberFormat="1" applyFill="1" applyBorder="1" applyAlignment="1"/>
    <xf numFmtId="166" fontId="3" fillId="0" borderId="8" xfId="2" applyNumberFormat="1" applyFill="1" applyBorder="1" applyAlignment="1"/>
    <xf numFmtId="165" fontId="3" fillId="0" borderId="8" xfId="2" applyNumberFormat="1" applyFill="1" applyBorder="1" applyAlignment="1"/>
    <xf numFmtId="2" fontId="3" fillId="0" borderId="8" xfId="2" applyNumberFormat="1" applyFill="1" applyBorder="1" applyAlignment="1"/>
    <xf numFmtId="166" fontId="3" fillId="0" borderId="6" xfId="2" applyNumberFormat="1" applyFill="1" applyBorder="1" applyAlignment="1"/>
    <xf numFmtId="166" fontId="3" fillId="0" borderId="0" xfId="2" applyNumberFormat="1" applyFill="1" applyBorder="1" applyAlignment="1"/>
    <xf numFmtId="165" fontId="3" fillId="0" borderId="0" xfId="2" applyNumberFormat="1" applyFill="1" applyBorder="1" applyAlignment="1"/>
    <xf numFmtId="2" fontId="3" fillId="0" borderId="0" xfId="2" applyNumberFormat="1" applyFill="1" applyBorder="1" applyAlignment="1"/>
    <xf numFmtId="0" fontId="5" fillId="0" borderId="16" xfId="2" applyFont="1" applyFill="1" applyBorder="1" applyAlignment="1">
      <alignment horizontal="center" wrapText="1"/>
    </xf>
    <xf numFmtId="0" fontId="5" fillId="0" borderId="14" xfId="2" applyFont="1" applyFill="1" applyBorder="1" applyAlignment="1">
      <alignment horizontal="center" wrapText="1"/>
    </xf>
    <xf numFmtId="3" fontId="3" fillId="0" borderId="0" xfId="2" applyNumberFormat="1" applyAlignment="1">
      <alignment wrapText="1"/>
    </xf>
    <xf numFmtId="0" fontId="3" fillId="0" borderId="8" xfId="2" applyFill="1" applyBorder="1" applyAlignment="1"/>
    <xf numFmtId="0" fontId="3" fillId="0" borderId="0" xfId="2" applyFill="1" applyBorder="1" applyAlignment="1"/>
    <xf numFmtId="170" fontId="3" fillId="0" borderId="0" xfId="2" applyNumberFormat="1" applyFill="1" applyBorder="1" applyAlignment="1"/>
    <xf numFmtId="9" fontId="3" fillId="0" borderId="0" xfId="2" applyNumberFormat="1"/>
    <xf numFmtId="173" fontId="3" fillId="0" borderId="0" xfId="2" applyNumberFormat="1"/>
    <xf numFmtId="165" fontId="3" fillId="0" borderId="0" xfId="2" applyNumberFormat="1"/>
    <xf numFmtId="43" fontId="3" fillId="0" borderId="0" xfId="2" applyNumberFormat="1"/>
    <xf numFmtId="164" fontId="6" fillId="0" borderId="0" xfId="3" applyNumberFormat="1" applyFont="1"/>
    <xf numFmtId="2" fontId="3" fillId="0" borderId="0" xfId="2" applyNumberFormat="1"/>
    <xf numFmtId="0" fontId="5" fillId="0" borderId="13" xfId="2" applyFont="1" applyFill="1" applyBorder="1" applyAlignment="1">
      <alignment horizontal="centerContinuous"/>
    </xf>
    <xf numFmtId="0" fontId="5" fillId="0" borderId="14" xfId="2" applyFont="1" applyFill="1" applyBorder="1" applyAlignment="1">
      <alignment horizontal="centerContinuous"/>
    </xf>
    <xf numFmtId="0" fontId="4" fillId="0" borderId="0" xfId="2" applyFont="1" applyAlignment="1">
      <alignment horizontal="right"/>
    </xf>
    <xf numFmtId="9" fontId="0" fillId="0" borderId="0" xfId="4" applyFont="1"/>
    <xf numFmtId="166" fontId="3" fillId="0" borderId="0" xfId="2" applyNumberFormat="1"/>
    <xf numFmtId="0" fontId="4" fillId="0" borderId="0" xfId="2" applyFont="1"/>
    <xf numFmtId="164" fontId="3" fillId="0" borderId="0" xfId="2" applyNumberFormat="1"/>
    <xf numFmtId="0" fontId="3" fillId="0" borderId="0" xfId="2" applyAlignment="1">
      <alignment horizontal="center" vertical="center" wrapText="1"/>
    </xf>
    <xf numFmtId="0" fontId="4" fillId="0" borderId="15" xfId="2" applyFont="1" applyBorder="1" applyAlignment="1">
      <alignment horizontal="center"/>
    </xf>
    <xf numFmtId="166" fontId="3" fillId="0" borderId="8" xfId="2" applyNumberFormat="1" applyBorder="1"/>
    <xf numFmtId="0" fontId="4" fillId="0" borderId="7" xfId="2" applyFont="1" applyBorder="1"/>
    <xf numFmtId="166" fontId="3" fillId="0" borderId="9" xfId="2" applyNumberFormat="1" applyBorder="1"/>
    <xf numFmtId="43" fontId="3" fillId="0" borderId="8" xfId="2" applyNumberFormat="1" applyBorder="1"/>
    <xf numFmtId="166" fontId="3" fillId="0" borderId="0" xfId="2" applyNumberFormat="1" applyBorder="1"/>
    <xf numFmtId="0" fontId="4" fillId="0" borderId="5" xfId="2" applyFont="1" applyBorder="1"/>
    <xf numFmtId="166" fontId="3" fillId="0" borderId="6" xfId="2" applyNumberFormat="1" applyBorder="1"/>
    <xf numFmtId="43" fontId="3" fillId="0" borderId="0" xfId="2" applyNumberFormat="1" applyBorder="1"/>
    <xf numFmtId="0" fontId="4" fillId="0" borderId="17" xfId="2" applyFont="1" applyBorder="1" applyAlignment="1">
      <alignment horizontal="center"/>
    </xf>
    <xf numFmtId="169" fontId="0" fillId="0" borderId="0" xfId="3" applyNumberFormat="1" applyFont="1"/>
    <xf numFmtId="41" fontId="6" fillId="0" borderId="0" xfId="2" applyNumberFormat="1" applyFont="1"/>
    <xf numFmtId="171" fontId="3" fillId="0" borderId="0" xfId="2" applyNumberFormat="1"/>
    <xf numFmtId="3" fontId="3" fillId="2" borderId="0" xfId="2" applyNumberFormat="1" applyFill="1"/>
    <xf numFmtId="0" fontId="3" fillId="0" borderId="0" xfId="2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center"/>
    </xf>
    <xf numFmtId="0" fontId="4" fillId="0" borderId="4" xfId="2" applyFont="1" applyBorder="1" applyAlignment="1">
      <alignment horizontal="center" wrapText="1"/>
    </xf>
    <xf numFmtId="0" fontId="4" fillId="0" borderId="3" xfId="2" applyFont="1" applyBorder="1" applyAlignment="1">
      <alignment horizontal="center" wrapText="1"/>
    </xf>
    <xf numFmtId="0" fontId="4" fillId="0" borderId="2" xfId="2" applyFont="1" applyBorder="1" applyAlignment="1">
      <alignment horizontal="center"/>
    </xf>
    <xf numFmtId="0" fontId="4" fillId="0" borderId="12" xfId="2" applyFont="1" applyBorder="1" applyAlignment="1">
      <alignment horizontal="center" wrapText="1"/>
    </xf>
    <xf numFmtId="0" fontId="4" fillId="0" borderId="11" xfId="2" applyFont="1" applyBorder="1" applyAlignment="1">
      <alignment horizontal="center" wrapText="1"/>
    </xf>
    <xf numFmtId="0" fontId="4" fillId="0" borderId="1" xfId="2" applyFont="1" applyBorder="1" applyAlignment="1">
      <alignment horizontal="center"/>
    </xf>
    <xf numFmtId="0" fontId="4" fillId="0" borderId="0" xfId="2" applyFont="1" applyAlignment="1">
      <alignment horizontal="center" vertical="center" wrapText="1"/>
    </xf>
    <xf numFmtId="0" fontId="3" fillId="3" borderId="0" xfId="2" applyFill="1" applyBorder="1"/>
    <xf numFmtId="0" fontId="3" fillId="3" borderId="1" xfId="2" applyFill="1" applyBorder="1"/>
    <xf numFmtId="0" fontId="3" fillId="0" borderId="0" xfId="2" applyFont="1"/>
    <xf numFmtId="164" fontId="3" fillId="3" borderId="1" xfId="3" applyNumberFormat="1" applyFont="1" applyFill="1" applyBorder="1"/>
    <xf numFmtId="0" fontId="4" fillId="0" borderId="0" xfId="2" applyFont="1" applyAlignment="1">
      <alignment vertical="center" wrapText="1"/>
    </xf>
    <xf numFmtId="0" fontId="7" fillId="0" borderId="0" xfId="2" applyFont="1" applyAlignment="1">
      <alignment vertical="center"/>
    </xf>
    <xf numFmtId="1" fontId="3" fillId="0" borderId="8" xfId="2" applyNumberFormat="1" applyFill="1" applyBorder="1" applyAlignment="1"/>
    <xf numFmtId="0" fontId="3" fillId="0" borderId="6" xfId="2" applyNumberFormat="1" applyBorder="1"/>
    <xf numFmtId="0" fontId="3" fillId="0" borderId="5" xfId="2" applyNumberFormat="1" applyBorder="1"/>
    <xf numFmtId="1" fontId="3" fillId="0" borderId="0" xfId="2" applyNumberFormat="1" applyFill="1" applyBorder="1" applyAlignment="1"/>
    <xf numFmtId="0" fontId="3" fillId="0" borderId="4" xfId="2" applyNumberFormat="1" applyBorder="1"/>
    <xf numFmtId="0" fontId="3" fillId="0" borderId="2" xfId="2" applyNumberFormat="1" applyBorder="1"/>
    <xf numFmtId="0" fontId="3" fillId="0" borderId="1" xfId="2" applyNumberFormat="1" applyBorder="1" applyAlignment="1">
      <alignment wrapText="1"/>
    </xf>
    <xf numFmtId="172" fontId="3" fillId="0" borderId="9" xfId="2" applyNumberFormat="1" applyBorder="1"/>
    <xf numFmtId="1" fontId="3" fillId="0" borderId="9" xfId="2" applyNumberFormat="1" applyFill="1" applyBorder="1" applyAlignment="1"/>
    <xf numFmtId="1" fontId="3" fillId="0" borderId="6" xfId="2" applyNumberFormat="1" applyFill="1" applyBorder="1" applyAlignment="1"/>
    <xf numFmtId="0" fontId="5" fillId="0" borderId="0" xfId="2" applyFont="1" applyFill="1" applyBorder="1" applyAlignment="1">
      <alignment horizontal="center"/>
    </xf>
    <xf numFmtId="0" fontId="5" fillId="0" borderId="16" xfId="2" applyFont="1" applyFill="1" applyBorder="1" applyAlignment="1">
      <alignment horizontal="center"/>
    </xf>
    <xf numFmtId="174" fontId="3" fillId="0" borderId="8" xfId="2" applyNumberFormat="1" applyFill="1" applyBorder="1" applyAlignment="1"/>
    <xf numFmtId="11" fontId="3" fillId="0" borderId="8" xfId="2" applyNumberFormat="1" applyFill="1" applyBorder="1" applyAlignment="1"/>
    <xf numFmtId="174" fontId="3" fillId="0" borderId="0" xfId="2" applyNumberFormat="1" applyFill="1" applyBorder="1" applyAlignment="1"/>
    <xf numFmtId="11" fontId="3" fillId="0" borderId="0" xfId="2" applyNumberFormat="1" applyFill="1" applyBorder="1" applyAlignment="1"/>
    <xf numFmtId="171" fontId="3" fillId="0" borderId="0" xfId="2" applyNumberFormat="1" applyFill="1" applyBorder="1" applyAlignment="1"/>
    <xf numFmtId="166" fontId="3" fillId="0" borderId="1" xfId="2" applyNumberFormat="1" applyBorder="1"/>
    <xf numFmtId="0" fontId="3" fillId="0" borderId="1" xfId="2" applyFont="1" applyBorder="1" applyAlignment="1">
      <alignment horizontal="center"/>
    </xf>
    <xf numFmtId="175" fontId="3" fillId="0" borderId="6" xfId="2" applyNumberFormat="1" applyBorder="1"/>
    <xf numFmtId="175" fontId="3" fillId="0" borderId="5" xfId="2" applyNumberFormat="1" applyBorder="1"/>
    <xf numFmtId="175" fontId="3" fillId="0" borderId="4" xfId="2" applyNumberFormat="1" applyBorder="1"/>
    <xf numFmtId="175" fontId="3" fillId="0" borderId="2" xfId="2" applyNumberFormat="1" applyBorder="1"/>
    <xf numFmtId="175" fontId="3" fillId="0" borderId="1" xfId="2" applyNumberFormat="1" applyBorder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4" fillId="0" borderId="3" xfId="2" applyFont="1" applyBorder="1" applyAlignment="1">
      <alignment horizontal="center"/>
    </xf>
    <xf numFmtId="164" fontId="3" fillId="0" borderId="0" xfId="2" applyNumberFormat="1" applyBorder="1"/>
    <xf numFmtId="169" fontId="0" fillId="0" borderId="6" xfId="3" applyNumberFormat="1" applyFont="1" applyBorder="1"/>
    <xf numFmtId="3" fontId="3" fillId="0" borderId="0" xfId="2" applyNumberFormat="1" applyBorder="1"/>
    <xf numFmtId="164" fontId="0" fillId="0" borderId="0" xfId="3" applyNumberFormat="1" applyFont="1" applyBorder="1"/>
    <xf numFmtId="0" fontId="3" fillId="0" borderId="0" xfId="2" applyFont="1" applyBorder="1" applyAlignment="1">
      <alignment horizontal="right"/>
    </xf>
    <xf numFmtId="1" fontId="3" fillId="0" borderId="0" xfId="2" applyNumberFormat="1" applyBorder="1"/>
    <xf numFmtId="0" fontId="3" fillId="0" borderId="8" xfId="2" applyFont="1" applyBorder="1" applyAlignment="1">
      <alignment horizontal="right"/>
    </xf>
    <xf numFmtId="1" fontId="3" fillId="0" borderId="8" xfId="2" applyNumberFormat="1" applyBorder="1"/>
    <xf numFmtId="0" fontId="0" fillId="0" borderId="0" xfId="0" applyAlignment="1">
      <alignment horizontal="center" wrapText="1"/>
    </xf>
    <xf numFmtId="170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3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2" applyBorder="1" applyAlignment="1">
      <alignment horizontal="center"/>
    </xf>
    <xf numFmtId="0" fontId="3" fillId="0" borderId="10" xfId="2" applyFont="1" applyBorder="1" applyAlignment="1">
      <alignment horizontal="center"/>
    </xf>
    <xf numFmtId="0" fontId="3" fillId="0" borderId="12" xfId="2" applyFont="1" applyBorder="1" applyAlignment="1">
      <alignment horizontal="center"/>
    </xf>
  </cellXfs>
  <cellStyles count="5">
    <cellStyle name="Comma" xfId="1" builtinId="3"/>
    <cellStyle name="Comma 2" xfId="3"/>
    <cellStyle name="Normal" xfId="0" builtinId="0"/>
    <cellStyle name="Normal 2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Figure 30.1 Seasonal Property Tax Data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Figure30p3!$D$1</c:f>
              <c:strCache>
                <c:ptCount val="1"/>
                <c:pt idx="0">
                  <c:v>Property Tax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2"/>
                </a:solidFill>
              </a:ln>
              <a:effectLst/>
            </c:spPr>
          </c:marker>
          <c:cat>
            <c:numRef>
              <c:f>Figure30p3!$C$2:$C$83</c:f>
              <c:numCache>
                <c:formatCode>[$-409]mmm\-yy;@</c:formatCode>
                <c:ptCount val="82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  <c:pt idx="6">
                  <c:v>38718</c:v>
                </c:pt>
                <c:pt idx="7">
                  <c:v>38749</c:v>
                </c:pt>
                <c:pt idx="8">
                  <c:v>38777</c:v>
                </c:pt>
                <c:pt idx="9">
                  <c:v>39173</c:v>
                </c:pt>
                <c:pt idx="10">
                  <c:v>39203</c:v>
                </c:pt>
                <c:pt idx="11">
                  <c:v>39234</c:v>
                </c:pt>
                <c:pt idx="12">
                  <c:v>39264</c:v>
                </c:pt>
                <c:pt idx="13">
                  <c:v>39295</c:v>
                </c:pt>
                <c:pt idx="14">
                  <c:v>39326</c:v>
                </c:pt>
                <c:pt idx="15">
                  <c:v>39356</c:v>
                </c:pt>
                <c:pt idx="16">
                  <c:v>39387</c:v>
                </c:pt>
                <c:pt idx="17">
                  <c:v>39417</c:v>
                </c:pt>
                <c:pt idx="18">
                  <c:v>39083</c:v>
                </c:pt>
                <c:pt idx="19">
                  <c:v>39114</c:v>
                </c:pt>
                <c:pt idx="20">
                  <c:v>39142</c:v>
                </c:pt>
                <c:pt idx="21">
                  <c:v>39539</c:v>
                </c:pt>
                <c:pt idx="22">
                  <c:v>39569</c:v>
                </c:pt>
                <c:pt idx="23">
                  <c:v>39600</c:v>
                </c:pt>
                <c:pt idx="24">
                  <c:v>39630</c:v>
                </c:pt>
                <c:pt idx="25">
                  <c:v>39661</c:v>
                </c:pt>
                <c:pt idx="26">
                  <c:v>39692</c:v>
                </c:pt>
                <c:pt idx="27">
                  <c:v>39722</c:v>
                </c:pt>
                <c:pt idx="28">
                  <c:v>39753</c:v>
                </c:pt>
                <c:pt idx="29">
                  <c:v>39783</c:v>
                </c:pt>
                <c:pt idx="30">
                  <c:v>39448</c:v>
                </c:pt>
                <c:pt idx="31">
                  <c:v>39479</c:v>
                </c:pt>
                <c:pt idx="32">
                  <c:v>39508</c:v>
                </c:pt>
                <c:pt idx="33">
                  <c:v>39904</c:v>
                </c:pt>
                <c:pt idx="34">
                  <c:v>39934</c:v>
                </c:pt>
                <c:pt idx="35">
                  <c:v>39965</c:v>
                </c:pt>
                <c:pt idx="36">
                  <c:v>39995</c:v>
                </c:pt>
                <c:pt idx="37">
                  <c:v>40026</c:v>
                </c:pt>
                <c:pt idx="38">
                  <c:v>40057</c:v>
                </c:pt>
                <c:pt idx="39">
                  <c:v>40087</c:v>
                </c:pt>
                <c:pt idx="40">
                  <c:v>40118</c:v>
                </c:pt>
                <c:pt idx="41">
                  <c:v>40148</c:v>
                </c:pt>
                <c:pt idx="42">
                  <c:v>39814</c:v>
                </c:pt>
                <c:pt idx="43">
                  <c:v>39845</c:v>
                </c:pt>
                <c:pt idx="44">
                  <c:v>39873</c:v>
                </c:pt>
                <c:pt idx="45">
                  <c:v>40269</c:v>
                </c:pt>
                <c:pt idx="46">
                  <c:v>40299</c:v>
                </c:pt>
                <c:pt idx="47">
                  <c:v>40330</c:v>
                </c:pt>
                <c:pt idx="48">
                  <c:v>40360</c:v>
                </c:pt>
                <c:pt idx="49">
                  <c:v>40391</c:v>
                </c:pt>
                <c:pt idx="50">
                  <c:v>40422</c:v>
                </c:pt>
                <c:pt idx="51">
                  <c:v>40452</c:v>
                </c:pt>
                <c:pt idx="52">
                  <c:v>40483</c:v>
                </c:pt>
                <c:pt idx="53">
                  <c:v>40513</c:v>
                </c:pt>
                <c:pt idx="54">
                  <c:v>40179</c:v>
                </c:pt>
                <c:pt idx="55">
                  <c:v>40210</c:v>
                </c:pt>
                <c:pt idx="56">
                  <c:v>40238</c:v>
                </c:pt>
                <c:pt idx="57">
                  <c:v>40634</c:v>
                </c:pt>
                <c:pt idx="58">
                  <c:v>40664</c:v>
                </c:pt>
                <c:pt idx="59">
                  <c:v>40695</c:v>
                </c:pt>
                <c:pt idx="60">
                  <c:v>40725</c:v>
                </c:pt>
                <c:pt idx="61">
                  <c:v>40756</c:v>
                </c:pt>
                <c:pt idx="62">
                  <c:v>40787</c:v>
                </c:pt>
                <c:pt idx="63">
                  <c:v>40817</c:v>
                </c:pt>
                <c:pt idx="64">
                  <c:v>40848</c:v>
                </c:pt>
                <c:pt idx="65">
                  <c:v>40878</c:v>
                </c:pt>
                <c:pt idx="66">
                  <c:v>40544</c:v>
                </c:pt>
                <c:pt idx="67">
                  <c:v>40575</c:v>
                </c:pt>
                <c:pt idx="68">
                  <c:v>40603</c:v>
                </c:pt>
                <c:pt idx="69">
                  <c:v>41000</c:v>
                </c:pt>
                <c:pt idx="70">
                  <c:v>41030</c:v>
                </c:pt>
                <c:pt idx="71">
                  <c:v>41061</c:v>
                </c:pt>
                <c:pt idx="72">
                  <c:v>41091</c:v>
                </c:pt>
                <c:pt idx="73">
                  <c:v>41122</c:v>
                </c:pt>
                <c:pt idx="74">
                  <c:v>41153</c:v>
                </c:pt>
                <c:pt idx="75">
                  <c:v>41183</c:v>
                </c:pt>
                <c:pt idx="76">
                  <c:v>41214</c:v>
                </c:pt>
                <c:pt idx="77">
                  <c:v>41244</c:v>
                </c:pt>
                <c:pt idx="78">
                  <c:v>40909</c:v>
                </c:pt>
                <c:pt idx="79">
                  <c:v>40940</c:v>
                </c:pt>
                <c:pt idx="80">
                  <c:v>40969</c:v>
                </c:pt>
                <c:pt idx="81">
                  <c:v>41365</c:v>
                </c:pt>
              </c:numCache>
            </c:numRef>
          </c:cat>
          <c:val>
            <c:numRef>
              <c:f>Figure30p3!$D$2:$D$83</c:f>
              <c:numCache>
                <c:formatCode>_(* #,##0_);_(* \(#,##0\);_(* "-"??_);_(@_)</c:formatCode>
                <c:ptCount val="82"/>
                <c:pt idx="0">
                  <c:v>2400</c:v>
                </c:pt>
                <c:pt idx="1">
                  <c:v>103</c:v>
                </c:pt>
                <c:pt idx="2">
                  <c:v>313</c:v>
                </c:pt>
                <c:pt idx="3">
                  <c:v>323</c:v>
                </c:pt>
                <c:pt idx="4">
                  <c:v>34</c:v>
                </c:pt>
                <c:pt idx="5">
                  <c:v>3207</c:v>
                </c:pt>
                <c:pt idx="6">
                  <c:v>1985</c:v>
                </c:pt>
                <c:pt idx="7">
                  <c:v>56</c:v>
                </c:pt>
                <c:pt idx="8">
                  <c:v>554</c:v>
                </c:pt>
                <c:pt idx="9">
                  <c:v>308</c:v>
                </c:pt>
                <c:pt idx="10">
                  <c:v>26</c:v>
                </c:pt>
                <c:pt idx="11">
                  <c:v>2609</c:v>
                </c:pt>
                <c:pt idx="12">
                  <c:v>3416</c:v>
                </c:pt>
                <c:pt idx="13">
                  <c:v>10</c:v>
                </c:pt>
                <c:pt idx="14">
                  <c:v>356</c:v>
                </c:pt>
                <c:pt idx="15">
                  <c:v>278</c:v>
                </c:pt>
                <c:pt idx="16">
                  <c:v>50</c:v>
                </c:pt>
                <c:pt idx="17">
                  <c:v>3256</c:v>
                </c:pt>
                <c:pt idx="18">
                  <c:v>2044</c:v>
                </c:pt>
                <c:pt idx="19">
                  <c:v>57</c:v>
                </c:pt>
                <c:pt idx="20">
                  <c:v>604</c:v>
                </c:pt>
                <c:pt idx="21">
                  <c:v>236</c:v>
                </c:pt>
                <c:pt idx="22">
                  <c:v>33</c:v>
                </c:pt>
                <c:pt idx="23">
                  <c:v>2651</c:v>
                </c:pt>
                <c:pt idx="24">
                  <c:v>3835</c:v>
                </c:pt>
                <c:pt idx="25">
                  <c:v>133</c:v>
                </c:pt>
                <c:pt idx="26">
                  <c:v>642</c:v>
                </c:pt>
                <c:pt idx="27">
                  <c:v>248</c:v>
                </c:pt>
                <c:pt idx="28">
                  <c:v>6</c:v>
                </c:pt>
                <c:pt idx="29">
                  <c:v>1492</c:v>
                </c:pt>
                <c:pt idx="30">
                  <c:v>3602</c:v>
                </c:pt>
                <c:pt idx="31">
                  <c:v>81</c:v>
                </c:pt>
                <c:pt idx="32">
                  <c:v>826</c:v>
                </c:pt>
                <c:pt idx="33">
                  <c:v>339</c:v>
                </c:pt>
                <c:pt idx="34">
                  <c:v>24</c:v>
                </c:pt>
                <c:pt idx="35">
                  <c:v>4572</c:v>
                </c:pt>
                <c:pt idx="36">
                  <c:v>2754</c:v>
                </c:pt>
                <c:pt idx="37">
                  <c:v>37</c:v>
                </c:pt>
                <c:pt idx="38">
                  <c:v>648</c:v>
                </c:pt>
                <c:pt idx="39">
                  <c:v>702</c:v>
                </c:pt>
                <c:pt idx="40">
                  <c:v>67</c:v>
                </c:pt>
                <c:pt idx="41">
                  <c:v>3826</c:v>
                </c:pt>
                <c:pt idx="42">
                  <c:v>1993</c:v>
                </c:pt>
                <c:pt idx="43">
                  <c:v>174</c:v>
                </c:pt>
                <c:pt idx="44">
                  <c:v>884</c:v>
                </c:pt>
                <c:pt idx="45">
                  <c:v>376</c:v>
                </c:pt>
                <c:pt idx="46">
                  <c:v>48</c:v>
                </c:pt>
                <c:pt idx="47">
                  <c:v>4303</c:v>
                </c:pt>
                <c:pt idx="48">
                  <c:v>3122</c:v>
                </c:pt>
                <c:pt idx="49">
                  <c:v>110</c:v>
                </c:pt>
                <c:pt idx="50">
                  <c:v>980</c:v>
                </c:pt>
                <c:pt idx="51">
                  <c:v>413</c:v>
                </c:pt>
                <c:pt idx="52">
                  <c:v>57</c:v>
                </c:pt>
                <c:pt idx="53">
                  <c:v>3842</c:v>
                </c:pt>
                <c:pt idx="54">
                  <c:v>2304</c:v>
                </c:pt>
                <c:pt idx="55">
                  <c:v>99</c:v>
                </c:pt>
                <c:pt idx="56">
                  <c:v>938</c:v>
                </c:pt>
                <c:pt idx="57">
                  <c:v>372</c:v>
                </c:pt>
                <c:pt idx="58">
                  <c:v>50</c:v>
                </c:pt>
                <c:pt idx="59">
                  <c:v>4420</c:v>
                </c:pt>
                <c:pt idx="60">
                  <c:v>3455</c:v>
                </c:pt>
                <c:pt idx="61">
                  <c:v>127</c:v>
                </c:pt>
                <c:pt idx="62">
                  <c:v>1024</c:v>
                </c:pt>
                <c:pt idx="63">
                  <c:v>532</c:v>
                </c:pt>
                <c:pt idx="64">
                  <c:v>162</c:v>
                </c:pt>
                <c:pt idx="65">
                  <c:v>4391</c:v>
                </c:pt>
                <c:pt idx="66">
                  <c:v>2021</c:v>
                </c:pt>
                <c:pt idx="67">
                  <c:v>106</c:v>
                </c:pt>
                <c:pt idx="68">
                  <c:v>980</c:v>
                </c:pt>
                <c:pt idx="69">
                  <c:v>425</c:v>
                </c:pt>
                <c:pt idx="70">
                  <c:v>45</c:v>
                </c:pt>
                <c:pt idx="71">
                  <c:v>5043</c:v>
                </c:pt>
                <c:pt idx="72">
                  <c:v>3091</c:v>
                </c:pt>
                <c:pt idx="73">
                  <c:v>198</c:v>
                </c:pt>
                <c:pt idx="74">
                  <c:v>790</c:v>
                </c:pt>
                <c:pt idx="75">
                  <c:v>784</c:v>
                </c:pt>
                <c:pt idx="76">
                  <c:v>78</c:v>
                </c:pt>
                <c:pt idx="77">
                  <c:v>4124</c:v>
                </c:pt>
                <c:pt idx="78">
                  <c:v>2647</c:v>
                </c:pt>
                <c:pt idx="79">
                  <c:v>86</c:v>
                </c:pt>
                <c:pt idx="80">
                  <c:v>972</c:v>
                </c:pt>
                <c:pt idx="81">
                  <c:v>440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322480"/>
        <c:axId val="373034464"/>
      </c:lineChart>
      <c:dateAx>
        <c:axId val="3643224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034464"/>
        <c:crosses val="autoZero"/>
        <c:auto val="1"/>
        <c:lblOffset val="100"/>
        <c:baseTimeUnit val="months"/>
        <c:majorUnit val="12"/>
        <c:majorTimeUnit val="months"/>
      </c:dateAx>
      <c:valAx>
        <c:axId val="37303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32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Differenced Rev Per 1000 Gal/Lag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Differenced Revenue</c:v>
          </c:tx>
          <c:spPr>
            <a:ln w="28575">
              <a:noFill/>
            </a:ln>
          </c:spPr>
          <c:xVal>
            <c:numLit>
              <c:formatCode>General</c:formatCode>
              <c:ptCount val="26"/>
              <c:pt idx="0">
                <c:v>7.9021060458230194E-2</c:v>
              </c:pt>
              <c:pt idx="1">
                <c:v>2.9071136586527331E-2</c:v>
              </c:pt>
              <c:pt idx="2">
                <c:v>4.5561548115705772E-2</c:v>
              </c:pt>
              <c:pt idx="3">
                <c:v>0.21349769950916966</c:v>
              </c:pt>
              <c:pt idx="4">
                <c:v>-3.5288520765938261E-2</c:v>
              </c:pt>
              <c:pt idx="5">
                <c:v>-6.2268936211013641E-2</c:v>
              </c:pt>
              <c:pt idx="6">
                <c:v>0.18416429496587336</c:v>
              </c:pt>
              <c:pt idx="7">
                <c:v>0.10634419937635849</c:v>
              </c:pt>
              <c:pt idx="8">
                <c:v>3.382552899775372E-2</c:v>
              </c:pt>
              <c:pt idx="9">
                <c:v>3.182023501023426E-2</c:v>
              </c:pt>
              <c:pt idx="10">
                <c:v>0.23628265709340637</c:v>
              </c:pt>
              <c:pt idx="11">
                <c:v>2.1447295039548092E-2</c:v>
              </c:pt>
              <c:pt idx="12">
                <c:v>5.3234378069772201E-2</c:v>
              </c:pt>
              <c:pt idx="13">
                <c:v>1.6144495681229623E-2</c:v>
              </c:pt>
              <c:pt idx="14">
                <c:v>0.13011255506202624</c:v>
              </c:pt>
              <c:pt idx="15">
                <c:v>0.23335580779585904</c:v>
              </c:pt>
              <c:pt idx="16">
                <c:v>-0.12767072326462622</c:v>
              </c:pt>
              <c:pt idx="17">
                <c:v>3.2047117798535356E-2</c:v>
              </c:pt>
              <c:pt idx="18">
                <c:v>8.6576999388645728E-2</c:v>
              </c:pt>
              <c:pt idx="19">
                <c:v>0.11881384431815853</c:v>
              </c:pt>
              <c:pt idx="20">
                <c:v>6.2155694975363218E-2</c:v>
              </c:pt>
              <c:pt idx="21">
                <c:v>0.17440083769269896</c:v>
              </c:pt>
              <c:pt idx="22">
                <c:v>1.851402131670607E-2</c:v>
              </c:pt>
              <c:pt idx="23">
                <c:v>0.21334516138694959</c:v>
              </c:pt>
              <c:pt idx="24">
                <c:v>0.27920115037597532</c:v>
              </c:pt>
              <c:pt idx="25">
                <c:v>0.22145097617534129</c:v>
              </c:pt>
            </c:numLit>
          </c:xVal>
          <c:yVal>
            <c:numLit>
              <c:formatCode>General</c:formatCode>
              <c:ptCount val="26"/>
              <c:pt idx="0">
                <c:v>25610257.999999881</c:v>
              </c:pt>
              <c:pt idx="1">
                <c:v>33371895.00000006</c:v>
              </c:pt>
              <c:pt idx="2">
                <c:v>67378830</c:v>
              </c:pt>
              <c:pt idx="3">
                <c:v>-7832741.0000000596</c:v>
              </c:pt>
              <c:pt idx="4">
                <c:v>-3108850.9999998808</c:v>
              </c:pt>
              <c:pt idx="5">
                <c:v>110985718.99999994</c:v>
              </c:pt>
              <c:pt idx="6">
                <c:v>25743947.000000119</c:v>
              </c:pt>
              <c:pt idx="7">
                <c:v>25001578.999999881</c:v>
              </c:pt>
              <c:pt idx="8">
                <c:v>47746205</c:v>
              </c:pt>
              <c:pt idx="9">
                <c:v>64997875.000000119</c:v>
              </c:pt>
              <c:pt idx="10">
                <c:v>8723813.9999998808</c:v>
              </c:pt>
              <c:pt idx="11">
                <c:v>20715723</c:v>
              </c:pt>
              <c:pt idx="12">
                <c:v>-7598180</c:v>
              </c:pt>
              <c:pt idx="13">
                <c:v>44355052</c:v>
              </c:pt>
              <c:pt idx="14">
                <c:v>47481906</c:v>
              </c:pt>
              <c:pt idx="15">
                <c:v>-45148202</c:v>
              </c:pt>
              <c:pt idx="16">
                <c:v>23603156</c:v>
              </c:pt>
              <c:pt idx="17">
                <c:v>41269825</c:v>
              </c:pt>
              <c:pt idx="18">
                <c:v>15381660</c:v>
              </c:pt>
              <c:pt idx="19">
                <c:v>-11554856.000000119</c:v>
              </c:pt>
              <c:pt idx="20">
                <c:v>38393235.000000238</c:v>
              </c:pt>
              <c:pt idx="21">
                <c:v>14579060.999999881</c:v>
              </c:pt>
              <c:pt idx="22">
                <c:v>90221222</c:v>
              </c:pt>
              <c:pt idx="23">
                <c:v>74328165</c:v>
              </c:pt>
              <c:pt idx="24">
                <c:v>138316634</c:v>
              </c:pt>
              <c:pt idx="25">
                <c:v>81315197</c:v>
              </c:pt>
            </c:numLit>
          </c:yVal>
          <c:smooth val="0"/>
        </c:ser>
        <c:ser>
          <c:idx val="1"/>
          <c:order val="1"/>
          <c:tx>
            <c:v>Predicted Differenced Revenue</c:v>
          </c:tx>
          <c:spPr>
            <a:ln w="28575">
              <a:noFill/>
            </a:ln>
          </c:spPr>
          <c:xVal>
            <c:numLit>
              <c:formatCode>General</c:formatCode>
              <c:ptCount val="26"/>
              <c:pt idx="0">
                <c:v>7.9021060458230194E-2</c:v>
              </c:pt>
              <c:pt idx="1">
                <c:v>2.9071136586527331E-2</c:v>
              </c:pt>
              <c:pt idx="2">
                <c:v>4.5561548115705772E-2</c:v>
              </c:pt>
              <c:pt idx="3">
                <c:v>0.21349769950916966</c:v>
              </c:pt>
              <c:pt idx="4">
                <c:v>-3.5288520765938261E-2</c:v>
              </c:pt>
              <c:pt idx="5">
                <c:v>-6.2268936211013641E-2</c:v>
              </c:pt>
              <c:pt idx="6">
                <c:v>0.18416429496587336</c:v>
              </c:pt>
              <c:pt idx="7">
                <c:v>0.10634419937635849</c:v>
              </c:pt>
              <c:pt idx="8">
                <c:v>3.382552899775372E-2</c:v>
              </c:pt>
              <c:pt idx="9">
                <c:v>3.182023501023426E-2</c:v>
              </c:pt>
              <c:pt idx="10">
                <c:v>0.23628265709340637</c:v>
              </c:pt>
              <c:pt idx="11">
                <c:v>2.1447295039548092E-2</c:v>
              </c:pt>
              <c:pt idx="12">
                <c:v>5.3234378069772201E-2</c:v>
              </c:pt>
              <c:pt idx="13">
                <c:v>1.6144495681229623E-2</c:v>
              </c:pt>
              <c:pt idx="14">
                <c:v>0.13011255506202624</c:v>
              </c:pt>
              <c:pt idx="15">
                <c:v>0.23335580779585904</c:v>
              </c:pt>
              <c:pt idx="16">
                <c:v>-0.12767072326462622</c:v>
              </c:pt>
              <c:pt idx="17">
                <c:v>3.2047117798535356E-2</c:v>
              </c:pt>
              <c:pt idx="18">
                <c:v>8.6576999388645728E-2</c:v>
              </c:pt>
              <c:pt idx="19">
                <c:v>0.11881384431815853</c:v>
              </c:pt>
              <c:pt idx="20">
                <c:v>6.2155694975363218E-2</c:v>
              </c:pt>
              <c:pt idx="21">
                <c:v>0.17440083769269896</c:v>
              </c:pt>
              <c:pt idx="22">
                <c:v>1.851402131670607E-2</c:v>
              </c:pt>
              <c:pt idx="23">
                <c:v>0.21334516138694959</c:v>
              </c:pt>
              <c:pt idx="24">
                <c:v>0.27920115037597532</c:v>
              </c:pt>
              <c:pt idx="25">
                <c:v>0.22145097617534129</c:v>
              </c:pt>
            </c:numLit>
          </c:xVal>
          <c:yVal>
            <c:numRef>
              <c:f>'W&amp;SDiffNoOutlier'!$B$26:$B$51</c:f>
              <c:numCache>
                <c:formatCode>0</c:formatCode>
                <c:ptCount val="26"/>
                <c:pt idx="0">
                  <c:v>69362260.60251233</c:v>
                </c:pt>
                <c:pt idx="1">
                  <c:v>51933573.221647285</c:v>
                </c:pt>
                <c:pt idx="2">
                  <c:v>51241334.940358154</c:v>
                </c:pt>
                <c:pt idx="3">
                  <c:v>-9416659.7547914907</c:v>
                </c:pt>
                <c:pt idx="4">
                  <c:v>39879226.160697967</c:v>
                </c:pt>
                <c:pt idx="5">
                  <c:v>66549161.053712413</c:v>
                </c:pt>
                <c:pt idx="6">
                  <c:v>67786335.244924575</c:v>
                </c:pt>
                <c:pt idx="7">
                  <c:v>8967243.6121046022</c:v>
                </c:pt>
                <c:pt idx="8">
                  <c:v>45901353.416698158</c:v>
                </c:pt>
                <c:pt idx="9">
                  <c:v>68183916.323117942</c:v>
                </c:pt>
                <c:pt idx="10">
                  <c:v>2152401.2035372257</c:v>
                </c:pt>
                <c:pt idx="11">
                  <c:v>13829165.61559128</c:v>
                </c:pt>
                <c:pt idx="12">
                  <c:v>29053291.236961119</c:v>
                </c:pt>
                <c:pt idx="13">
                  <c:v>17480858.322165489</c:v>
                </c:pt>
                <c:pt idx="14">
                  <c:v>28555496.539329518</c:v>
                </c:pt>
                <c:pt idx="15">
                  <c:v>14886307.484532207</c:v>
                </c:pt>
                <c:pt idx="16">
                  <c:v>19416831.383828301</c:v>
                </c:pt>
                <c:pt idx="17">
                  <c:v>37445340.074686386</c:v>
                </c:pt>
                <c:pt idx="18">
                  <c:v>40751774.938097581</c:v>
                </c:pt>
                <c:pt idx="19">
                  <c:v>23977134.211774655</c:v>
                </c:pt>
                <c:pt idx="20">
                  <c:v>18929957.383337256</c:v>
                </c:pt>
                <c:pt idx="21">
                  <c:v>36695060.796164259</c:v>
                </c:pt>
                <c:pt idx="22">
                  <c:v>39732808.083800465</c:v>
                </c:pt>
                <c:pt idx="23">
                  <c:v>59678090.356959611</c:v>
                </c:pt>
                <c:pt idx="24">
                  <c:v>47295659.837458342</c:v>
                </c:pt>
                <c:pt idx="25">
                  <c:v>74010205.710794255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036544"/>
        <c:axId val="456037104"/>
      </c:scatterChart>
      <c:valAx>
        <c:axId val="45603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Rev Per 1000 Gal/Lag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037104"/>
        <c:crosses val="autoZero"/>
        <c:crossBetween val="midCat"/>
      </c:valAx>
      <c:valAx>
        <c:axId val="45603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Revenue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036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Differenced Thousand Gallons Per Cap/Lag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Differenced Revenue</c:v>
          </c:tx>
          <c:spPr>
            <a:ln w="28575">
              <a:noFill/>
            </a:ln>
          </c:spPr>
          <c:xVal>
            <c:numLit>
              <c:formatCode>General</c:formatCode>
              <c:ptCount val="26"/>
              <c:pt idx="0">
                <c:v>3.1488796646250119</c:v>
              </c:pt>
              <c:pt idx="1">
                <c:v>1.8252347741785926</c:v>
              </c:pt>
              <c:pt idx="2">
                <c:v>1.5369464966579836</c:v>
              </c:pt>
              <c:pt idx="3">
                <c:v>-7.4305937432214701</c:v>
              </c:pt>
              <c:pt idx="4">
                <c:v>1.2901294459552883</c:v>
              </c:pt>
              <c:pt idx="5">
                <c:v>4.6350969922748337</c:v>
              </c:pt>
              <c:pt idx="6">
                <c:v>1.6300375637526159</c:v>
              </c:pt>
              <c:pt idx="7">
                <c:v>-3.9949813028448409</c:v>
              </c:pt>
              <c:pt idx="8">
                <c:v>1.0858681530828909</c:v>
              </c:pt>
              <c:pt idx="9">
                <c:v>3.6185387223594736</c:v>
              </c:pt>
              <c:pt idx="10">
                <c:v>-6.4196352001643824</c:v>
              </c:pt>
              <c:pt idx="11">
                <c:v>-2.3647451189064013</c:v>
              </c:pt>
              <c:pt idx="12">
                <c:v>-1.0574018727404182</c:v>
              </c:pt>
              <c:pt idx="13">
                <c:v>-1.8862223185493421</c:v>
              </c:pt>
              <c:pt idx="14">
                <c:v>-2.0943041761172134</c:v>
              </c:pt>
              <c:pt idx="15">
                <c:v>-4.9495574006466123</c:v>
              </c:pt>
              <c:pt idx="16">
                <c:v>0.16654836311828694</c:v>
              </c:pt>
              <c:pt idx="17">
                <c:v>0.15714497620099427</c:v>
              </c:pt>
              <c:pt idx="18">
                <c:v>-0.16658748255550745</c:v>
              </c:pt>
              <c:pt idx="19">
                <c:v>-2.4652698702315394</c:v>
              </c:pt>
              <c:pt idx="20">
                <c:v>-2.3102393405681143</c:v>
              </c:pt>
              <c:pt idx="21">
                <c:v>-1.74357201060847</c:v>
              </c:pt>
              <c:pt idx="22">
                <c:v>0.58718524989331489</c:v>
              </c:pt>
              <c:pt idx="23">
                <c:v>0.3454314837114798</c:v>
              </c:pt>
              <c:pt idx="24">
                <c:v>-1.8880176945323184</c:v>
              </c:pt>
              <c:pt idx="25">
                <c:v>1.8545625797631073</c:v>
              </c:pt>
            </c:numLit>
          </c:xVal>
          <c:yVal>
            <c:numLit>
              <c:formatCode>General</c:formatCode>
              <c:ptCount val="26"/>
              <c:pt idx="0">
                <c:v>25610257.999999881</c:v>
              </c:pt>
              <c:pt idx="1">
                <c:v>33371895.00000006</c:v>
              </c:pt>
              <c:pt idx="2">
                <c:v>67378830</c:v>
              </c:pt>
              <c:pt idx="3">
                <c:v>-7832741.0000000596</c:v>
              </c:pt>
              <c:pt idx="4">
                <c:v>-3108850.9999998808</c:v>
              </c:pt>
              <c:pt idx="5">
                <c:v>110985718.99999994</c:v>
              </c:pt>
              <c:pt idx="6">
                <c:v>25743947.000000119</c:v>
              </c:pt>
              <c:pt idx="7">
                <c:v>25001578.999999881</c:v>
              </c:pt>
              <c:pt idx="8">
                <c:v>47746205</c:v>
              </c:pt>
              <c:pt idx="9">
                <c:v>64997875.000000119</c:v>
              </c:pt>
              <c:pt idx="10">
                <c:v>8723813.9999998808</c:v>
              </c:pt>
              <c:pt idx="11">
                <c:v>20715723</c:v>
              </c:pt>
              <c:pt idx="12">
                <c:v>-7598180</c:v>
              </c:pt>
              <c:pt idx="13">
                <c:v>44355052</c:v>
              </c:pt>
              <c:pt idx="14">
                <c:v>47481906</c:v>
              </c:pt>
              <c:pt idx="15">
                <c:v>-45148202</c:v>
              </c:pt>
              <c:pt idx="16">
                <c:v>23603156</c:v>
              </c:pt>
              <c:pt idx="17">
                <c:v>41269825</c:v>
              </c:pt>
              <c:pt idx="18">
                <c:v>15381660</c:v>
              </c:pt>
              <c:pt idx="19">
                <c:v>-11554856.000000119</c:v>
              </c:pt>
              <c:pt idx="20">
                <c:v>38393235.000000238</c:v>
              </c:pt>
              <c:pt idx="21">
                <c:v>14579060.999999881</c:v>
              </c:pt>
              <c:pt idx="22">
                <c:v>90221222</c:v>
              </c:pt>
              <c:pt idx="23">
                <c:v>74328165</c:v>
              </c:pt>
              <c:pt idx="24">
                <c:v>138316634</c:v>
              </c:pt>
              <c:pt idx="25">
                <c:v>81315197</c:v>
              </c:pt>
            </c:numLit>
          </c:yVal>
          <c:smooth val="0"/>
        </c:ser>
        <c:ser>
          <c:idx val="1"/>
          <c:order val="1"/>
          <c:tx>
            <c:v>Predicted Differenced Revenue</c:v>
          </c:tx>
          <c:spPr>
            <a:ln w="28575">
              <a:noFill/>
            </a:ln>
          </c:spPr>
          <c:xVal>
            <c:numLit>
              <c:formatCode>General</c:formatCode>
              <c:ptCount val="26"/>
              <c:pt idx="0">
                <c:v>3.1488796646250119</c:v>
              </c:pt>
              <c:pt idx="1">
                <c:v>1.8252347741785926</c:v>
              </c:pt>
              <c:pt idx="2">
                <c:v>1.5369464966579836</c:v>
              </c:pt>
              <c:pt idx="3">
                <c:v>-7.4305937432214701</c:v>
              </c:pt>
              <c:pt idx="4">
                <c:v>1.2901294459552883</c:v>
              </c:pt>
              <c:pt idx="5">
                <c:v>4.6350969922748337</c:v>
              </c:pt>
              <c:pt idx="6">
                <c:v>1.6300375637526159</c:v>
              </c:pt>
              <c:pt idx="7">
                <c:v>-3.9949813028448409</c:v>
              </c:pt>
              <c:pt idx="8">
                <c:v>1.0858681530828909</c:v>
              </c:pt>
              <c:pt idx="9">
                <c:v>3.6185387223594736</c:v>
              </c:pt>
              <c:pt idx="10">
                <c:v>-6.4196352001643824</c:v>
              </c:pt>
              <c:pt idx="11">
                <c:v>-2.3647451189064013</c:v>
              </c:pt>
              <c:pt idx="12">
                <c:v>-1.0574018727404182</c:v>
              </c:pt>
              <c:pt idx="13">
                <c:v>-1.8862223185493421</c:v>
              </c:pt>
              <c:pt idx="14">
                <c:v>-2.0943041761172134</c:v>
              </c:pt>
              <c:pt idx="15">
                <c:v>-4.9495574006466123</c:v>
              </c:pt>
              <c:pt idx="16">
                <c:v>0.16654836311828694</c:v>
              </c:pt>
              <c:pt idx="17">
                <c:v>0.15714497620099427</c:v>
              </c:pt>
              <c:pt idx="18">
                <c:v>-0.16658748255550745</c:v>
              </c:pt>
              <c:pt idx="19">
                <c:v>-2.4652698702315394</c:v>
              </c:pt>
              <c:pt idx="20">
                <c:v>-2.3102393405681143</c:v>
              </c:pt>
              <c:pt idx="21">
                <c:v>-1.74357201060847</c:v>
              </c:pt>
              <c:pt idx="22">
                <c:v>0.58718524989331489</c:v>
              </c:pt>
              <c:pt idx="23">
                <c:v>0.3454314837114798</c:v>
              </c:pt>
              <c:pt idx="24">
                <c:v>-1.8880176945323184</c:v>
              </c:pt>
              <c:pt idx="25">
                <c:v>1.8545625797631073</c:v>
              </c:pt>
            </c:numLit>
          </c:xVal>
          <c:yVal>
            <c:numRef>
              <c:f>'W&amp;SDiffNoOutlier'!$B$26:$B$51</c:f>
              <c:numCache>
                <c:formatCode>0</c:formatCode>
                <c:ptCount val="26"/>
                <c:pt idx="0">
                  <c:v>69362260.60251233</c:v>
                </c:pt>
                <c:pt idx="1">
                  <c:v>51933573.221647285</c:v>
                </c:pt>
                <c:pt idx="2">
                  <c:v>51241334.940358154</c:v>
                </c:pt>
                <c:pt idx="3">
                  <c:v>-9416659.7547914907</c:v>
                </c:pt>
                <c:pt idx="4">
                  <c:v>39879226.160697967</c:v>
                </c:pt>
                <c:pt idx="5">
                  <c:v>66549161.053712413</c:v>
                </c:pt>
                <c:pt idx="6">
                  <c:v>67786335.244924575</c:v>
                </c:pt>
                <c:pt idx="7">
                  <c:v>8967243.6121046022</c:v>
                </c:pt>
                <c:pt idx="8">
                  <c:v>45901353.416698158</c:v>
                </c:pt>
                <c:pt idx="9">
                  <c:v>68183916.323117942</c:v>
                </c:pt>
                <c:pt idx="10">
                  <c:v>2152401.2035372257</c:v>
                </c:pt>
                <c:pt idx="11">
                  <c:v>13829165.61559128</c:v>
                </c:pt>
                <c:pt idx="12">
                  <c:v>29053291.236961119</c:v>
                </c:pt>
                <c:pt idx="13">
                  <c:v>17480858.322165489</c:v>
                </c:pt>
                <c:pt idx="14">
                  <c:v>28555496.539329518</c:v>
                </c:pt>
                <c:pt idx="15">
                  <c:v>14886307.484532207</c:v>
                </c:pt>
                <c:pt idx="16">
                  <c:v>19416831.383828301</c:v>
                </c:pt>
                <c:pt idx="17">
                  <c:v>37445340.074686386</c:v>
                </c:pt>
                <c:pt idx="18">
                  <c:v>40751774.938097581</c:v>
                </c:pt>
                <c:pt idx="19">
                  <c:v>23977134.211774655</c:v>
                </c:pt>
                <c:pt idx="20">
                  <c:v>18929957.383337256</c:v>
                </c:pt>
                <c:pt idx="21">
                  <c:v>36695060.796164259</c:v>
                </c:pt>
                <c:pt idx="22">
                  <c:v>39732808.083800465</c:v>
                </c:pt>
                <c:pt idx="23">
                  <c:v>59678090.356959611</c:v>
                </c:pt>
                <c:pt idx="24">
                  <c:v>47295659.837458342</c:v>
                </c:pt>
                <c:pt idx="25">
                  <c:v>74010205.710794255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332896"/>
        <c:axId val="368333456"/>
      </c:scatterChart>
      <c:valAx>
        <c:axId val="36833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Thousand Gallons Per Cap/Lag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8333456"/>
        <c:crosses val="autoZero"/>
        <c:crossBetween val="midCat"/>
      </c:valAx>
      <c:valAx>
        <c:axId val="36833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Revenue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8332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Differenced Rev Per 1000 Gal/Lag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Lit>
              <c:formatCode>General</c:formatCode>
              <c:ptCount val="28"/>
              <c:pt idx="0">
                <c:v>5.1330511868769142E-2</c:v>
              </c:pt>
              <c:pt idx="1">
                <c:v>7.8719056014500702E-2</c:v>
              </c:pt>
              <c:pt idx="2">
                <c:v>7.9021060458230194E-2</c:v>
              </c:pt>
              <c:pt idx="3">
                <c:v>2.9071136586527331E-2</c:v>
              </c:pt>
              <c:pt idx="4">
                <c:v>4.5561548115705772E-2</c:v>
              </c:pt>
              <c:pt idx="5">
                <c:v>0.21349769950916966</c:v>
              </c:pt>
              <c:pt idx="6">
                <c:v>-3.5288520765938261E-2</c:v>
              </c:pt>
              <c:pt idx="7">
                <c:v>-6.2268936211013641E-2</c:v>
              </c:pt>
              <c:pt idx="8">
                <c:v>0.18416429496587336</c:v>
              </c:pt>
              <c:pt idx="9">
                <c:v>0.10634419937635849</c:v>
              </c:pt>
              <c:pt idx="10">
                <c:v>3.382552899775372E-2</c:v>
              </c:pt>
              <c:pt idx="11">
                <c:v>3.182023501023426E-2</c:v>
              </c:pt>
              <c:pt idx="12">
                <c:v>0.23628265709340637</c:v>
              </c:pt>
              <c:pt idx="13">
                <c:v>2.1447295039548092E-2</c:v>
              </c:pt>
              <c:pt idx="14">
                <c:v>5.3234378069772201E-2</c:v>
              </c:pt>
              <c:pt idx="15">
                <c:v>1.6144495681229623E-2</c:v>
              </c:pt>
              <c:pt idx="16">
                <c:v>0.13011255506202624</c:v>
              </c:pt>
              <c:pt idx="17">
                <c:v>0.23335580779585904</c:v>
              </c:pt>
              <c:pt idx="18">
                <c:v>-0.12767072326462622</c:v>
              </c:pt>
              <c:pt idx="19">
                <c:v>3.2047117798535356E-2</c:v>
              </c:pt>
              <c:pt idx="20">
                <c:v>8.6576999388645728E-2</c:v>
              </c:pt>
              <c:pt idx="21">
                <c:v>0.11881384431815853</c:v>
              </c:pt>
              <c:pt idx="22">
                <c:v>6.2155694975363218E-2</c:v>
              </c:pt>
              <c:pt idx="23">
                <c:v>0.17440083769269896</c:v>
              </c:pt>
              <c:pt idx="24">
                <c:v>1.851402131670607E-2</c:v>
              </c:pt>
              <c:pt idx="25">
                <c:v>0.21334516138694959</c:v>
              </c:pt>
              <c:pt idx="26">
                <c:v>0.27920115037597532</c:v>
              </c:pt>
              <c:pt idx="27">
                <c:v>0.22145097617534129</c:v>
              </c:pt>
            </c:numLit>
          </c:xVal>
          <c:yVal>
            <c:numRef>
              <c:f>'W&amp;SDifference'!$C$26:$C$53</c:f>
              <c:numCache>
                <c:formatCode>0</c:formatCode>
                <c:ptCount val="28"/>
                <c:pt idx="0">
                  <c:v>-35250926.965784654</c:v>
                </c:pt>
                <c:pt idx="1">
                  <c:v>64177377.685168289</c:v>
                </c:pt>
                <c:pt idx="2">
                  <c:v>-32255722.673705965</c:v>
                </c:pt>
                <c:pt idx="3">
                  <c:v>-14118525.606058985</c:v>
                </c:pt>
                <c:pt idx="4">
                  <c:v>20379625.676823959</c:v>
                </c:pt>
                <c:pt idx="5">
                  <c:v>-17257655.698387615</c:v>
                </c:pt>
                <c:pt idx="6">
                  <c:v>-43550808.864096843</c:v>
                </c:pt>
                <c:pt idx="7">
                  <c:v>54223870.564785771</c:v>
                </c:pt>
                <c:pt idx="8">
                  <c:v>-30714243.279802196</c:v>
                </c:pt>
                <c:pt idx="9">
                  <c:v>3947930.0818705261</c:v>
                </c:pt>
                <c:pt idx="10">
                  <c:v>3941252.7311371639</c:v>
                </c:pt>
                <c:pt idx="11">
                  <c:v>7645705.1390665323</c:v>
                </c:pt>
                <c:pt idx="12">
                  <c:v>-7632752.935577929</c:v>
                </c:pt>
                <c:pt idx="13">
                  <c:v>-3655545.2571040839</c:v>
                </c:pt>
                <c:pt idx="14">
                  <c:v>-41083324.276868105</c:v>
                </c:pt>
                <c:pt idx="15">
                  <c:v>17742347.840963148</c:v>
                </c:pt>
                <c:pt idx="16">
                  <c:v>14628447.09113393</c:v>
                </c:pt>
                <c:pt idx="17">
                  <c:v>-69254278.731024653</c:v>
                </c:pt>
                <c:pt idx="18">
                  <c:v>-4801712.296807982</c:v>
                </c:pt>
                <c:pt idx="19">
                  <c:v>2595033.5001466796</c:v>
                </c:pt>
                <c:pt idx="20">
                  <c:v>-25068559.06449762</c:v>
                </c:pt>
                <c:pt idx="21">
                  <c:v>-41674941.177330077</c:v>
                </c:pt>
                <c:pt idx="22">
                  <c:v>11097117.947599187</c:v>
                </c:pt>
                <c:pt idx="23">
                  <c:v>-23030239.193262033</c:v>
                </c:pt>
                <c:pt idx="24">
                  <c:v>50098635.622481197</c:v>
                </c:pt>
                <c:pt idx="25">
                  <c:v>22921418.556298524</c:v>
                </c:pt>
                <c:pt idx="26">
                  <c:v>94715338.927257001</c:v>
                </c:pt>
                <c:pt idx="27">
                  <c:v>21235134.655577041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335696"/>
        <c:axId val="368336256"/>
      </c:scatterChart>
      <c:valAx>
        <c:axId val="36833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Rev Per 1000 Gal/Lag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8336256"/>
        <c:crosses val="autoZero"/>
        <c:crossBetween val="midCat"/>
      </c:valAx>
      <c:valAx>
        <c:axId val="36833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68335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Differenced Thousand Gallons Per Cap/Lag 1Corrected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Lit>
              <c:formatCode>General</c:formatCode>
              <c:ptCount val="28"/>
              <c:pt idx="0">
                <c:v>-0.18465704881775311</c:v>
              </c:pt>
              <c:pt idx="1">
                <c:v>-9.3284974437806483</c:v>
              </c:pt>
              <c:pt idx="2">
                <c:v>3.1488796646250119</c:v>
              </c:pt>
              <c:pt idx="3">
                <c:v>1.8252347741785926</c:v>
              </c:pt>
              <c:pt idx="4">
                <c:v>1.5369464966579836</c:v>
              </c:pt>
              <c:pt idx="5">
                <c:v>-7.4305937432214701</c:v>
              </c:pt>
              <c:pt idx="6">
                <c:v>1.2901294459552883</c:v>
              </c:pt>
              <c:pt idx="7">
                <c:v>4.6350969922748337</c:v>
              </c:pt>
              <c:pt idx="8">
                <c:v>1.6300375637526159</c:v>
              </c:pt>
              <c:pt idx="9">
                <c:v>-3.9949813028448409</c:v>
              </c:pt>
              <c:pt idx="10">
                <c:v>1.0858681530828909</c:v>
              </c:pt>
              <c:pt idx="11">
                <c:v>3.6185387223594736</c:v>
              </c:pt>
              <c:pt idx="12">
                <c:v>-6.4196352001643824</c:v>
              </c:pt>
              <c:pt idx="13">
                <c:v>-2.3647451189064013</c:v>
              </c:pt>
              <c:pt idx="14">
                <c:v>-1.0574018727404182</c:v>
              </c:pt>
              <c:pt idx="15">
                <c:v>-1.8862223185493421</c:v>
              </c:pt>
              <c:pt idx="16">
                <c:v>-2.0943041761172134</c:v>
              </c:pt>
              <c:pt idx="17">
                <c:v>-4.9495574006466123</c:v>
              </c:pt>
              <c:pt idx="18">
                <c:v>0.16654836311828694</c:v>
              </c:pt>
              <c:pt idx="19">
                <c:v>0.15714497620099427</c:v>
              </c:pt>
              <c:pt idx="20">
                <c:v>-0.16658748255550745</c:v>
              </c:pt>
              <c:pt idx="21">
                <c:v>-2.4652698702315394</c:v>
              </c:pt>
              <c:pt idx="22">
                <c:v>-2.3102393405681143</c:v>
              </c:pt>
              <c:pt idx="23">
                <c:v>-1.74357201060847</c:v>
              </c:pt>
              <c:pt idx="24">
                <c:v>0.58718524989331489</c:v>
              </c:pt>
              <c:pt idx="25">
                <c:v>0.3454314837114798</c:v>
              </c:pt>
              <c:pt idx="26">
                <c:v>-1.8880176945323184</c:v>
              </c:pt>
              <c:pt idx="27">
                <c:v>1.8545625797631073</c:v>
              </c:pt>
            </c:numLit>
          </c:xVal>
          <c:yVal>
            <c:numRef>
              <c:f>'W&amp;SDifference'!$C$26:$C$53</c:f>
              <c:numCache>
                <c:formatCode>0</c:formatCode>
                <c:ptCount val="28"/>
                <c:pt idx="0">
                  <c:v>-35250926.965784654</c:v>
                </c:pt>
                <c:pt idx="1">
                  <c:v>64177377.685168289</c:v>
                </c:pt>
                <c:pt idx="2">
                  <c:v>-32255722.673705965</c:v>
                </c:pt>
                <c:pt idx="3">
                  <c:v>-14118525.606058985</c:v>
                </c:pt>
                <c:pt idx="4">
                  <c:v>20379625.676823959</c:v>
                </c:pt>
                <c:pt idx="5">
                  <c:v>-17257655.698387615</c:v>
                </c:pt>
                <c:pt idx="6">
                  <c:v>-43550808.864096843</c:v>
                </c:pt>
                <c:pt idx="7">
                  <c:v>54223870.564785771</c:v>
                </c:pt>
                <c:pt idx="8">
                  <c:v>-30714243.279802196</c:v>
                </c:pt>
                <c:pt idx="9">
                  <c:v>3947930.0818705261</c:v>
                </c:pt>
                <c:pt idx="10">
                  <c:v>3941252.7311371639</c:v>
                </c:pt>
                <c:pt idx="11">
                  <c:v>7645705.1390665323</c:v>
                </c:pt>
                <c:pt idx="12">
                  <c:v>-7632752.935577929</c:v>
                </c:pt>
                <c:pt idx="13">
                  <c:v>-3655545.2571040839</c:v>
                </c:pt>
                <c:pt idx="14">
                  <c:v>-41083324.276868105</c:v>
                </c:pt>
                <c:pt idx="15">
                  <c:v>17742347.840963148</c:v>
                </c:pt>
                <c:pt idx="16">
                  <c:v>14628447.09113393</c:v>
                </c:pt>
                <c:pt idx="17">
                  <c:v>-69254278.731024653</c:v>
                </c:pt>
                <c:pt idx="18">
                  <c:v>-4801712.296807982</c:v>
                </c:pt>
                <c:pt idx="19">
                  <c:v>2595033.5001466796</c:v>
                </c:pt>
                <c:pt idx="20">
                  <c:v>-25068559.06449762</c:v>
                </c:pt>
                <c:pt idx="21">
                  <c:v>-41674941.177330077</c:v>
                </c:pt>
                <c:pt idx="22">
                  <c:v>11097117.947599187</c:v>
                </c:pt>
                <c:pt idx="23">
                  <c:v>-23030239.193262033</c:v>
                </c:pt>
                <c:pt idx="24">
                  <c:v>50098635.622481197</c:v>
                </c:pt>
                <c:pt idx="25">
                  <c:v>22921418.556298524</c:v>
                </c:pt>
                <c:pt idx="26">
                  <c:v>94715338.927257001</c:v>
                </c:pt>
                <c:pt idx="27">
                  <c:v>21235134.655577041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338496"/>
        <c:axId val="368339056"/>
      </c:scatterChart>
      <c:valAx>
        <c:axId val="36833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Thousand Gallons Per Cap/Lag 1Corrected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8339056"/>
        <c:crosses val="autoZero"/>
        <c:crossBetween val="midCat"/>
      </c:valAx>
      <c:valAx>
        <c:axId val="36833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68338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Differenced Rev Per 1000 Gal/Lag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Differenced Revenue</c:v>
          </c:tx>
          <c:spPr>
            <a:ln w="28575">
              <a:noFill/>
            </a:ln>
          </c:spPr>
          <c:xVal>
            <c:numLit>
              <c:formatCode>General</c:formatCode>
              <c:ptCount val="28"/>
              <c:pt idx="0">
                <c:v>5.1330511868769142E-2</c:v>
              </c:pt>
              <c:pt idx="1">
                <c:v>7.8719056014500702E-2</c:v>
              </c:pt>
              <c:pt idx="2">
                <c:v>7.9021060458230194E-2</c:v>
              </c:pt>
              <c:pt idx="3">
                <c:v>2.9071136586527331E-2</c:v>
              </c:pt>
              <c:pt idx="4">
                <c:v>4.5561548115705772E-2</c:v>
              </c:pt>
              <c:pt idx="5">
                <c:v>0.21349769950916966</c:v>
              </c:pt>
              <c:pt idx="6">
                <c:v>-3.5288520765938261E-2</c:v>
              </c:pt>
              <c:pt idx="7">
                <c:v>-6.2268936211013641E-2</c:v>
              </c:pt>
              <c:pt idx="8">
                <c:v>0.18416429496587336</c:v>
              </c:pt>
              <c:pt idx="9">
                <c:v>0.10634419937635849</c:v>
              </c:pt>
              <c:pt idx="10">
                <c:v>3.382552899775372E-2</c:v>
              </c:pt>
              <c:pt idx="11">
                <c:v>3.182023501023426E-2</c:v>
              </c:pt>
              <c:pt idx="12">
                <c:v>0.23628265709340637</c:v>
              </c:pt>
              <c:pt idx="13">
                <c:v>2.1447295039548092E-2</c:v>
              </c:pt>
              <c:pt idx="14">
                <c:v>5.3234378069772201E-2</c:v>
              </c:pt>
              <c:pt idx="15">
                <c:v>1.6144495681229623E-2</c:v>
              </c:pt>
              <c:pt idx="16">
                <c:v>0.13011255506202624</c:v>
              </c:pt>
              <c:pt idx="17">
                <c:v>0.23335580779585904</c:v>
              </c:pt>
              <c:pt idx="18">
                <c:v>-0.12767072326462622</c:v>
              </c:pt>
              <c:pt idx="19">
                <c:v>3.2047117798535356E-2</c:v>
              </c:pt>
              <c:pt idx="20">
                <c:v>8.6576999388645728E-2</c:v>
              </c:pt>
              <c:pt idx="21">
                <c:v>0.11881384431815853</c:v>
              </c:pt>
              <c:pt idx="22">
                <c:v>6.2155694975363218E-2</c:v>
              </c:pt>
              <c:pt idx="23">
                <c:v>0.17440083769269896</c:v>
              </c:pt>
              <c:pt idx="24">
                <c:v>1.851402131670607E-2</c:v>
              </c:pt>
              <c:pt idx="25">
                <c:v>0.21334516138694959</c:v>
              </c:pt>
              <c:pt idx="26">
                <c:v>0.27920115037597532</c:v>
              </c:pt>
              <c:pt idx="27">
                <c:v>0.22145097617534129</c:v>
              </c:pt>
            </c:numLit>
          </c:xVal>
          <c:yVal>
            <c:numLit>
              <c:formatCode>General</c:formatCode>
              <c:ptCount val="28"/>
              <c:pt idx="0">
                <c:v>2824143.9999999702</c:v>
              </c:pt>
              <c:pt idx="1">
                <c:v>54644158.000000089</c:v>
              </c:pt>
              <c:pt idx="2">
                <c:v>25610257.999999881</c:v>
              </c:pt>
              <c:pt idx="3">
                <c:v>33371895.00000006</c:v>
              </c:pt>
              <c:pt idx="4">
                <c:v>67378830</c:v>
              </c:pt>
              <c:pt idx="5">
                <c:v>-7832741.0000000596</c:v>
              </c:pt>
              <c:pt idx="6">
                <c:v>-3108850.9999998808</c:v>
              </c:pt>
              <c:pt idx="7">
                <c:v>110985718.99999994</c:v>
              </c:pt>
              <c:pt idx="8">
                <c:v>25743947.000000119</c:v>
              </c:pt>
              <c:pt idx="9">
                <c:v>25001578.999999881</c:v>
              </c:pt>
              <c:pt idx="10">
                <c:v>47746205</c:v>
              </c:pt>
              <c:pt idx="11">
                <c:v>64997875.000000119</c:v>
              </c:pt>
              <c:pt idx="12">
                <c:v>8723813.9999998808</c:v>
              </c:pt>
              <c:pt idx="13">
                <c:v>20715723</c:v>
              </c:pt>
              <c:pt idx="14">
                <c:v>-7598180</c:v>
              </c:pt>
              <c:pt idx="15">
                <c:v>44355052</c:v>
              </c:pt>
              <c:pt idx="16">
                <c:v>47481906</c:v>
              </c:pt>
              <c:pt idx="17">
                <c:v>-45148202</c:v>
              </c:pt>
              <c:pt idx="18">
                <c:v>23603156</c:v>
              </c:pt>
              <c:pt idx="19">
                <c:v>41269825</c:v>
              </c:pt>
              <c:pt idx="20">
                <c:v>15381660</c:v>
              </c:pt>
              <c:pt idx="21">
                <c:v>-11554856.000000119</c:v>
              </c:pt>
              <c:pt idx="22">
                <c:v>38393235.000000238</c:v>
              </c:pt>
              <c:pt idx="23">
                <c:v>14579060.999999881</c:v>
              </c:pt>
              <c:pt idx="24">
                <c:v>90221222</c:v>
              </c:pt>
              <c:pt idx="25">
                <c:v>74328165</c:v>
              </c:pt>
              <c:pt idx="26">
                <c:v>138316634</c:v>
              </c:pt>
              <c:pt idx="27">
                <c:v>81315197</c:v>
              </c:pt>
            </c:numLit>
          </c:yVal>
          <c:smooth val="0"/>
        </c:ser>
        <c:ser>
          <c:idx val="1"/>
          <c:order val="1"/>
          <c:tx>
            <c:v>Predicted Differenced Revenue</c:v>
          </c:tx>
          <c:spPr>
            <a:ln w="28575">
              <a:noFill/>
            </a:ln>
          </c:spPr>
          <c:xVal>
            <c:numLit>
              <c:formatCode>General</c:formatCode>
              <c:ptCount val="28"/>
              <c:pt idx="0">
                <c:v>5.1330511868769142E-2</c:v>
              </c:pt>
              <c:pt idx="1">
                <c:v>7.8719056014500702E-2</c:v>
              </c:pt>
              <c:pt idx="2">
                <c:v>7.9021060458230194E-2</c:v>
              </c:pt>
              <c:pt idx="3">
                <c:v>2.9071136586527331E-2</c:v>
              </c:pt>
              <c:pt idx="4">
                <c:v>4.5561548115705772E-2</c:v>
              </c:pt>
              <c:pt idx="5">
                <c:v>0.21349769950916966</c:v>
              </c:pt>
              <c:pt idx="6">
                <c:v>-3.5288520765938261E-2</c:v>
              </c:pt>
              <c:pt idx="7">
                <c:v>-6.2268936211013641E-2</c:v>
              </c:pt>
              <c:pt idx="8">
                <c:v>0.18416429496587336</c:v>
              </c:pt>
              <c:pt idx="9">
                <c:v>0.10634419937635849</c:v>
              </c:pt>
              <c:pt idx="10">
                <c:v>3.382552899775372E-2</c:v>
              </c:pt>
              <c:pt idx="11">
                <c:v>3.182023501023426E-2</c:v>
              </c:pt>
              <c:pt idx="12">
                <c:v>0.23628265709340637</c:v>
              </c:pt>
              <c:pt idx="13">
                <c:v>2.1447295039548092E-2</c:v>
              </c:pt>
              <c:pt idx="14">
                <c:v>5.3234378069772201E-2</c:v>
              </c:pt>
              <c:pt idx="15">
                <c:v>1.6144495681229623E-2</c:v>
              </c:pt>
              <c:pt idx="16">
                <c:v>0.13011255506202624</c:v>
              </c:pt>
              <c:pt idx="17">
                <c:v>0.23335580779585904</c:v>
              </c:pt>
              <c:pt idx="18">
                <c:v>-0.12767072326462622</c:v>
              </c:pt>
              <c:pt idx="19">
                <c:v>3.2047117798535356E-2</c:v>
              </c:pt>
              <c:pt idx="20">
                <c:v>8.6576999388645728E-2</c:v>
              </c:pt>
              <c:pt idx="21">
                <c:v>0.11881384431815853</c:v>
              </c:pt>
              <c:pt idx="22">
                <c:v>6.2155694975363218E-2</c:v>
              </c:pt>
              <c:pt idx="23">
                <c:v>0.17440083769269896</c:v>
              </c:pt>
              <c:pt idx="24">
                <c:v>1.851402131670607E-2</c:v>
              </c:pt>
              <c:pt idx="25">
                <c:v>0.21334516138694959</c:v>
              </c:pt>
              <c:pt idx="26">
                <c:v>0.27920115037597532</c:v>
              </c:pt>
              <c:pt idx="27">
                <c:v>0.22145097617534129</c:v>
              </c:pt>
            </c:numLit>
          </c:xVal>
          <c:yVal>
            <c:numRef>
              <c:f>'W&amp;SDifference'!$B$26:$B$53</c:f>
              <c:numCache>
                <c:formatCode>0</c:formatCode>
                <c:ptCount val="28"/>
                <c:pt idx="0">
                  <c:v>38075070.965784624</c:v>
                </c:pt>
                <c:pt idx="1">
                  <c:v>-9533219.6851681992</c:v>
                </c:pt>
                <c:pt idx="2">
                  <c:v>57865980.673705846</c:v>
                </c:pt>
                <c:pt idx="3">
                  <c:v>47490420.606059045</c:v>
                </c:pt>
                <c:pt idx="4">
                  <c:v>46999204.323176041</c:v>
                </c:pt>
                <c:pt idx="5">
                  <c:v>9424914.6983875558</c:v>
                </c:pt>
                <c:pt idx="6">
                  <c:v>40441957.864096962</c:v>
                </c:pt>
                <c:pt idx="7">
                  <c:v>56761848.435214169</c:v>
                </c:pt>
                <c:pt idx="8">
                  <c:v>56458190.279802315</c:v>
                </c:pt>
                <c:pt idx="9">
                  <c:v>21053648.918129355</c:v>
                </c:pt>
                <c:pt idx="10">
                  <c:v>43804952.268862836</c:v>
                </c:pt>
                <c:pt idx="11">
                  <c:v>57352169.860933587</c:v>
                </c:pt>
                <c:pt idx="12">
                  <c:v>16356566.93557781</c:v>
                </c:pt>
                <c:pt idx="13">
                  <c:v>24371268.257104084</c:v>
                </c:pt>
                <c:pt idx="14">
                  <c:v>33485144.276868105</c:v>
                </c:pt>
                <c:pt idx="15">
                  <c:v>26612704.159036852</c:v>
                </c:pt>
                <c:pt idx="16">
                  <c:v>32853458.90886607</c:v>
                </c:pt>
                <c:pt idx="17">
                  <c:v>24106076.731024653</c:v>
                </c:pt>
                <c:pt idx="18">
                  <c:v>28404868.296807982</c:v>
                </c:pt>
                <c:pt idx="19">
                  <c:v>38674791.49985332</c:v>
                </c:pt>
                <c:pt idx="20">
                  <c:v>40450219.06449762</c:v>
                </c:pt>
                <c:pt idx="21">
                  <c:v>30120085.177329957</c:v>
                </c:pt>
                <c:pt idx="22">
                  <c:v>27296117.052401051</c:v>
                </c:pt>
                <c:pt idx="23">
                  <c:v>37609300.193261914</c:v>
                </c:pt>
                <c:pt idx="24">
                  <c:v>40122586.377518803</c:v>
                </c:pt>
                <c:pt idx="25">
                  <c:v>51406746.443701476</c:v>
                </c:pt>
                <c:pt idx="26">
                  <c:v>43601295.072742999</c:v>
                </c:pt>
                <c:pt idx="27">
                  <c:v>60080062.344422959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494048"/>
        <c:axId val="368494608"/>
      </c:scatterChart>
      <c:valAx>
        <c:axId val="36849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Rev Per 1000 Gal/Lag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8494608"/>
        <c:crosses val="autoZero"/>
        <c:crossBetween val="midCat"/>
      </c:valAx>
      <c:valAx>
        <c:axId val="36849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Revenue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8494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Differenced Thousand Gallons Per Cap/Lag 1Corrected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Differenced Revenue</c:v>
          </c:tx>
          <c:spPr>
            <a:ln w="28575">
              <a:noFill/>
            </a:ln>
          </c:spPr>
          <c:xVal>
            <c:numLit>
              <c:formatCode>General</c:formatCode>
              <c:ptCount val="28"/>
              <c:pt idx="0">
                <c:v>-0.18465704881775311</c:v>
              </c:pt>
              <c:pt idx="1">
                <c:v>-9.3284974437806483</c:v>
              </c:pt>
              <c:pt idx="2">
                <c:v>3.1488796646250119</c:v>
              </c:pt>
              <c:pt idx="3">
                <c:v>1.8252347741785926</c:v>
              </c:pt>
              <c:pt idx="4">
                <c:v>1.5369464966579836</c:v>
              </c:pt>
              <c:pt idx="5">
                <c:v>-7.4305937432214701</c:v>
              </c:pt>
              <c:pt idx="6">
                <c:v>1.2901294459552883</c:v>
              </c:pt>
              <c:pt idx="7">
                <c:v>4.6350969922748337</c:v>
              </c:pt>
              <c:pt idx="8">
                <c:v>1.6300375637526159</c:v>
              </c:pt>
              <c:pt idx="9">
                <c:v>-3.9949813028448409</c:v>
              </c:pt>
              <c:pt idx="10">
                <c:v>1.0858681530828909</c:v>
              </c:pt>
              <c:pt idx="11">
                <c:v>3.6185387223594736</c:v>
              </c:pt>
              <c:pt idx="12">
                <c:v>-6.4196352001643824</c:v>
              </c:pt>
              <c:pt idx="13">
                <c:v>-2.3647451189064013</c:v>
              </c:pt>
              <c:pt idx="14">
                <c:v>-1.0574018727404182</c:v>
              </c:pt>
              <c:pt idx="15">
                <c:v>-1.8862223185493421</c:v>
              </c:pt>
              <c:pt idx="16">
                <c:v>-2.0943041761172134</c:v>
              </c:pt>
              <c:pt idx="17">
                <c:v>-4.9495574006466123</c:v>
              </c:pt>
              <c:pt idx="18">
                <c:v>0.16654836311828694</c:v>
              </c:pt>
              <c:pt idx="19">
                <c:v>0.15714497620099427</c:v>
              </c:pt>
              <c:pt idx="20">
                <c:v>-0.16658748255550745</c:v>
              </c:pt>
              <c:pt idx="21">
                <c:v>-2.4652698702315394</c:v>
              </c:pt>
              <c:pt idx="22">
                <c:v>-2.3102393405681143</c:v>
              </c:pt>
              <c:pt idx="23">
                <c:v>-1.74357201060847</c:v>
              </c:pt>
              <c:pt idx="24">
                <c:v>0.58718524989331489</c:v>
              </c:pt>
              <c:pt idx="25">
                <c:v>0.3454314837114798</c:v>
              </c:pt>
              <c:pt idx="26">
                <c:v>-1.8880176945323184</c:v>
              </c:pt>
              <c:pt idx="27">
                <c:v>1.8545625797631073</c:v>
              </c:pt>
            </c:numLit>
          </c:xVal>
          <c:yVal>
            <c:numLit>
              <c:formatCode>General</c:formatCode>
              <c:ptCount val="28"/>
              <c:pt idx="0">
                <c:v>2824143.9999999702</c:v>
              </c:pt>
              <c:pt idx="1">
                <c:v>54644158.000000089</c:v>
              </c:pt>
              <c:pt idx="2">
                <c:v>25610257.999999881</c:v>
              </c:pt>
              <c:pt idx="3">
                <c:v>33371895.00000006</c:v>
              </c:pt>
              <c:pt idx="4">
                <c:v>67378830</c:v>
              </c:pt>
              <c:pt idx="5">
                <c:v>-7832741.0000000596</c:v>
              </c:pt>
              <c:pt idx="6">
                <c:v>-3108850.9999998808</c:v>
              </c:pt>
              <c:pt idx="7">
                <c:v>110985718.99999994</c:v>
              </c:pt>
              <c:pt idx="8">
                <c:v>25743947.000000119</c:v>
              </c:pt>
              <c:pt idx="9">
                <c:v>25001578.999999881</c:v>
              </c:pt>
              <c:pt idx="10">
                <c:v>47746205</c:v>
              </c:pt>
              <c:pt idx="11">
                <c:v>64997875.000000119</c:v>
              </c:pt>
              <c:pt idx="12">
                <c:v>8723813.9999998808</c:v>
              </c:pt>
              <c:pt idx="13">
                <c:v>20715723</c:v>
              </c:pt>
              <c:pt idx="14">
                <c:v>-7598180</c:v>
              </c:pt>
              <c:pt idx="15">
                <c:v>44355052</c:v>
              </c:pt>
              <c:pt idx="16">
                <c:v>47481906</c:v>
              </c:pt>
              <c:pt idx="17">
                <c:v>-45148202</c:v>
              </c:pt>
              <c:pt idx="18">
                <c:v>23603156</c:v>
              </c:pt>
              <c:pt idx="19">
                <c:v>41269825</c:v>
              </c:pt>
              <c:pt idx="20">
                <c:v>15381660</c:v>
              </c:pt>
              <c:pt idx="21">
                <c:v>-11554856.000000119</c:v>
              </c:pt>
              <c:pt idx="22">
                <c:v>38393235.000000238</c:v>
              </c:pt>
              <c:pt idx="23">
                <c:v>14579060.999999881</c:v>
              </c:pt>
              <c:pt idx="24">
                <c:v>90221222</c:v>
              </c:pt>
              <c:pt idx="25">
                <c:v>74328165</c:v>
              </c:pt>
              <c:pt idx="26">
                <c:v>138316634</c:v>
              </c:pt>
              <c:pt idx="27">
                <c:v>81315197</c:v>
              </c:pt>
            </c:numLit>
          </c:yVal>
          <c:smooth val="0"/>
        </c:ser>
        <c:ser>
          <c:idx val="1"/>
          <c:order val="1"/>
          <c:tx>
            <c:v>Predicted Differenced Revenue</c:v>
          </c:tx>
          <c:spPr>
            <a:ln w="28575">
              <a:noFill/>
            </a:ln>
          </c:spPr>
          <c:xVal>
            <c:numLit>
              <c:formatCode>General</c:formatCode>
              <c:ptCount val="28"/>
              <c:pt idx="0">
                <c:v>-0.18465704881775311</c:v>
              </c:pt>
              <c:pt idx="1">
                <c:v>-9.3284974437806483</c:v>
              </c:pt>
              <c:pt idx="2">
                <c:v>3.1488796646250119</c:v>
              </c:pt>
              <c:pt idx="3">
                <c:v>1.8252347741785926</c:v>
              </c:pt>
              <c:pt idx="4">
                <c:v>1.5369464966579836</c:v>
              </c:pt>
              <c:pt idx="5">
                <c:v>-7.4305937432214701</c:v>
              </c:pt>
              <c:pt idx="6">
                <c:v>1.2901294459552883</c:v>
              </c:pt>
              <c:pt idx="7">
                <c:v>4.6350969922748337</c:v>
              </c:pt>
              <c:pt idx="8">
                <c:v>1.6300375637526159</c:v>
              </c:pt>
              <c:pt idx="9">
                <c:v>-3.9949813028448409</c:v>
              </c:pt>
              <c:pt idx="10">
                <c:v>1.0858681530828909</c:v>
              </c:pt>
              <c:pt idx="11">
                <c:v>3.6185387223594736</c:v>
              </c:pt>
              <c:pt idx="12">
                <c:v>-6.4196352001643824</c:v>
              </c:pt>
              <c:pt idx="13">
                <c:v>-2.3647451189064013</c:v>
              </c:pt>
              <c:pt idx="14">
                <c:v>-1.0574018727404182</c:v>
              </c:pt>
              <c:pt idx="15">
                <c:v>-1.8862223185493421</c:v>
              </c:pt>
              <c:pt idx="16">
                <c:v>-2.0943041761172134</c:v>
              </c:pt>
              <c:pt idx="17">
                <c:v>-4.9495574006466123</c:v>
              </c:pt>
              <c:pt idx="18">
                <c:v>0.16654836311828694</c:v>
              </c:pt>
              <c:pt idx="19">
                <c:v>0.15714497620099427</c:v>
              </c:pt>
              <c:pt idx="20">
                <c:v>-0.16658748255550745</c:v>
              </c:pt>
              <c:pt idx="21">
                <c:v>-2.4652698702315394</c:v>
              </c:pt>
              <c:pt idx="22">
                <c:v>-2.3102393405681143</c:v>
              </c:pt>
              <c:pt idx="23">
                <c:v>-1.74357201060847</c:v>
              </c:pt>
              <c:pt idx="24">
                <c:v>0.58718524989331489</c:v>
              </c:pt>
              <c:pt idx="25">
                <c:v>0.3454314837114798</c:v>
              </c:pt>
              <c:pt idx="26">
                <c:v>-1.8880176945323184</c:v>
              </c:pt>
              <c:pt idx="27">
                <c:v>1.8545625797631073</c:v>
              </c:pt>
            </c:numLit>
          </c:xVal>
          <c:yVal>
            <c:numRef>
              <c:f>'W&amp;SDifference'!$B$26:$B$53</c:f>
              <c:numCache>
                <c:formatCode>0</c:formatCode>
                <c:ptCount val="28"/>
                <c:pt idx="0">
                  <c:v>38075070.965784624</c:v>
                </c:pt>
                <c:pt idx="1">
                  <c:v>-9533219.6851681992</c:v>
                </c:pt>
                <c:pt idx="2">
                  <c:v>57865980.673705846</c:v>
                </c:pt>
                <c:pt idx="3">
                  <c:v>47490420.606059045</c:v>
                </c:pt>
                <c:pt idx="4">
                  <c:v>46999204.323176041</c:v>
                </c:pt>
                <c:pt idx="5">
                  <c:v>9424914.6983875558</c:v>
                </c:pt>
                <c:pt idx="6">
                  <c:v>40441957.864096962</c:v>
                </c:pt>
                <c:pt idx="7">
                  <c:v>56761848.435214169</c:v>
                </c:pt>
                <c:pt idx="8">
                  <c:v>56458190.279802315</c:v>
                </c:pt>
                <c:pt idx="9">
                  <c:v>21053648.918129355</c:v>
                </c:pt>
                <c:pt idx="10">
                  <c:v>43804952.268862836</c:v>
                </c:pt>
                <c:pt idx="11">
                  <c:v>57352169.860933587</c:v>
                </c:pt>
                <c:pt idx="12">
                  <c:v>16356566.93557781</c:v>
                </c:pt>
                <c:pt idx="13">
                  <c:v>24371268.257104084</c:v>
                </c:pt>
                <c:pt idx="14">
                  <c:v>33485144.276868105</c:v>
                </c:pt>
                <c:pt idx="15">
                  <c:v>26612704.159036852</c:v>
                </c:pt>
                <c:pt idx="16">
                  <c:v>32853458.90886607</c:v>
                </c:pt>
                <c:pt idx="17">
                  <c:v>24106076.731024653</c:v>
                </c:pt>
                <c:pt idx="18">
                  <c:v>28404868.296807982</c:v>
                </c:pt>
                <c:pt idx="19">
                  <c:v>38674791.49985332</c:v>
                </c:pt>
                <c:pt idx="20">
                  <c:v>40450219.06449762</c:v>
                </c:pt>
                <c:pt idx="21">
                  <c:v>30120085.177329957</c:v>
                </c:pt>
                <c:pt idx="22">
                  <c:v>27296117.052401051</c:v>
                </c:pt>
                <c:pt idx="23">
                  <c:v>37609300.193261914</c:v>
                </c:pt>
                <c:pt idx="24">
                  <c:v>40122586.377518803</c:v>
                </c:pt>
                <c:pt idx="25">
                  <c:v>51406746.443701476</c:v>
                </c:pt>
                <c:pt idx="26">
                  <c:v>43601295.072742999</c:v>
                </c:pt>
                <c:pt idx="27">
                  <c:v>60080062.344422959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497408"/>
        <c:axId val="368497968"/>
      </c:scatterChart>
      <c:valAx>
        <c:axId val="36849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Thousand Gallons Per Cap/Lag 1Corrected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8497968"/>
        <c:crosses val="autoZero"/>
        <c:crossBetween val="midCat"/>
      </c:valAx>
      <c:valAx>
        <c:axId val="36849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Revenue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8497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Figure30p3!$F$1</c:f>
          <c:strCache>
            <c:ptCount val="1"/>
            <c:pt idx="0">
              <c:v>Property Tax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Figure30p3!$G$3</c:f>
              <c:strCache>
                <c:ptCount val="1"/>
                <c:pt idx="0">
                  <c:v>Fiscal 2007</c:v>
                </c:pt>
              </c:strCache>
            </c:strRef>
          </c:tx>
          <c:spPr>
            <a:ln w="19050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xVal>
            <c:strRef>
              <c:f>Figure30p3!$F$4:$F$15</c:f>
              <c:strCache>
                <c:ptCount val="12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January</c:v>
                </c:pt>
                <c:pt idx="7">
                  <c:v>February</c:v>
                </c:pt>
                <c:pt idx="8">
                  <c:v>March</c:v>
                </c:pt>
                <c:pt idx="9">
                  <c:v>April</c:v>
                </c:pt>
                <c:pt idx="10">
                  <c:v>May</c:v>
                </c:pt>
                <c:pt idx="11">
                  <c:v>June</c:v>
                </c:pt>
              </c:strCache>
            </c:strRef>
          </c:xVal>
          <c:yVal>
            <c:numRef>
              <c:f>Figure30p3!$G$4:$G$15</c:f>
              <c:numCache>
                <c:formatCode>General</c:formatCode>
                <c:ptCount val="12"/>
                <c:pt idx="0">
                  <c:v>2400</c:v>
                </c:pt>
                <c:pt idx="1">
                  <c:v>103</c:v>
                </c:pt>
                <c:pt idx="2">
                  <c:v>313</c:v>
                </c:pt>
                <c:pt idx="3">
                  <c:v>323</c:v>
                </c:pt>
                <c:pt idx="4">
                  <c:v>34</c:v>
                </c:pt>
                <c:pt idx="5">
                  <c:v>3207</c:v>
                </c:pt>
                <c:pt idx="6">
                  <c:v>1985</c:v>
                </c:pt>
                <c:pt idx="7">
                  <c:v>56</c:v>
                </c:pt>
                <c:pt idx="8">
                  <c:v>554</c:v>
                </c:pt>
                <c:pt idx="9">
                  <c:v>308</c:v>
                </c:pt>
                <c:pt idx="10">
                  <c:v>26</c:v>
                </c:pt>
                <c:pt idx="11">
                  <c:v>2609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Figure30p3!$H$3</c:f>
              <c:strCache>
                <c:ptCount val="1"/>
                <c:pt idx="0">
                  <c:v>Fiscal 2008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xVal>
            <c:strRef>
              <c:f>Figure30p3!$F$4:$F$15</c:f>
              <c:strCache>
                <c:ptCount val="12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January</c:v>
                </c:pt>
                <c:pt idx="7">
                  <c:v>February</c:v>
                </c:pt>
                <c:pt idx="8">
                  <c:v>March</c:v>
                </c:pt>
                <c:pt idx="9">
                  <c:v>April</c:v>
                </c:pt>
                <c:pt idx="10">
                  <c:v>May</c:v>
                </c:pt>
                <c:pt idx="11">
                  <c:v>June</c:v>
                </c:pt>
              </c:strCache>
            </c:strRef>
          </c:xVal>
          <c:yVal>
            <c:numRef>
              <c:f>Figure30p3!$H$4:$H$15</c:f>
              <c:numCache>
                <c:formatCode>General</c:formatCode>
                <c:ptCount val="12"/>
                <c:pt idx="0">
                  <c:v>3416</c:v>
                </c:pt>
                <c:pt idx="1">
                  <c:v>10</c:v>
                </c:pt>
                <c:pt idx="2">
                  <c:v>356</c:v>
                </c:pt>
                <c:pt idx="3">
                  <c:v>278</c:v>
                </c:pt>
                <c:pt idx="4">
                  <c:v>50</c:v>
                </c:pt>
                <c:pt idx="5">
                  <c:v>3256</c:v>
                </c:pt>
                <c:pt idx="6">
                  <c:v>2044</c:v>
                </c:pt>
                <c:pt idx="7">
                  <c:v>57</c:v>
                </c:pt>
                <c:pt idx="8">
                  <c:v>604</c:v>
                </c:pt>
                <c:pt idx="9">
                  <c:v>236</c:v>
                </c:pt>
                <c:pt idx="10">
                  <c:v>33</c:v>
                </c:pt>
                <c:pt idx="11">
                  <c:v>2651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Figure30p3!$I$3</c:f>
              <c:strCache>
                <c:ptCount val="1"/>
                <c:pt idx="0">
                  <c:v>Fiscal 2009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xVal>
            <c:strRef>
              <c:f>Figure30p3!$F$4:$F$15</c:f>
              <c:strCache>
                <c:ptCount val="12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January</c:v>
                </c:pt>
                <c:pt idx="7">
                  <c:v>February</c:v>
                </c:pt>
                <c:pt idx="8">
                  <c:v>March</c:v>
                </c:pt>
                <c:pt idx="9">
                  <c:v>April</c:v>
                </c:pt>
                <c:pt idx="10">
                  <c:v>May</c:v>
                </c:pt>
                <c:pt idx="11">
                  <c:v>June</c:v>
                </c:pt>
              </c:strCache>
            </c:strRef>
          </c:xVal>
          <c:yVal>
            <c:numRef>
              <c:f>Figure30p3!$I$4:$I$15</c:f>
              <c:numCache>
                <c:formatCode>General</c:formatCode>
                <c:ptCount val="12"/>
                <c:pt idx="0">
                  <c:v>3835</c:v>
                </c:pt>
                <c:pt idx="1">
                  <c:v>133</c:v>
                </c:pt>
                <c:pt idx="2">
                  <c:v>642</c:v>
                </c:pt>
                <c:pt idx="3">
                  <c:v>248</c:v>
                </c:pt>
                <c:pt idx="4">
                  <c:v>6</c:v>
                </c:pt>
                <c:pt idx="5">
                  <c:v>1492</c:v>
                </c:pt>
                <c:pt idx="6">
                  <c:v>3602</c:v>
                </c:pt>
                <c:pt idx="7">
                  <c:v>81</c:v>
                </c:pt>
                <c:pt idx="8">
                  <c:v>826</c:v>
                </c:pt>
                <c:pt idx="9">
                  <c:v>339</c:v>
                </c:pt>
                <c:pt idx="10">
                  <c:v>24</c:v>
                </c:pt>
                <c:pt idx="11">
                  <c:v>4572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Figure30p3!$J$3</c:f>
              <c:strCache>
                <c:ptCount val="1"/>
                <c:pt idx="0">
                  <c:v>Fiscal 2010</c:v>
                </c:pt>
              </c:strCache>
            </c:strRef>
          </c:tx>
          <c:spPr>
            <a:ln w="19050" cap="rnd">
              <a:solidFill>
                <a:schemeClr val="dk1">
                  <a:tint val="9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98500"/>
                </a:schemeClr>
              </a:solidFill>
              <a:ln w="9525">
                <a:solidFill>
                  <a:schemeClr val="dk1">
                    <a:tint val="98500"/>
                  </a:schemeClr>
                </a:solidFill>
              </a:ln>
              <a:effectLst/>
            </c:spPr>
          </c:marker>
          <c:xVal>
            <c:strRef>
              <c:f>Figure30p3!$F$4:$F$15</c:f>
              <c:strCache>
                <c:ptCount val="12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January</c:v>
                </c:pt>
                <c:pt idx="7">
                  <c:v>February</c:v>
                </c:pt>
                <c:pt idx="8">
                  <c:v>March</c:v>
                </c:pt>
                <c:pt idx="9">
                  <c:v>April</c:v>
                </c:pt>
                <c:pt idx="10">
                  <c:v>May</c:v>
                </c:pt>
                <c:pt idx="11">
                  <c:v>June</c:v>
                </c:pt>
              </c:strCache>
            </c:strRef>
          </c:xVal>
          <c:yVal>
            <c:numRef>
              <c:f>Figure30p3!$J$4:$J$15</c:f>
              <c:numCache>
                <c:formatCode>General</c:formatCode>
                <c:ptCount val="12"/>
                <c:pt idx="0">
                  <c:v>2754</c:v>
                </c:pt>
                <c:pt idx="1">
                  <c:v>37</c:v>
                </c:pt>
                <c:pt idx="2">
                  <c:v>648</c:v>
                </c:pt>
                <c:pt idx="3">
                  <c:v>702</c:v>
                </c:pt>
                <c:pt idx="4">
                  <c:v>67</c:v>
                </c:pt>
                <c:pt idx="5">
                  <c:v>3826</c:v>
                </c:pt>
                <c:pt idx="6">
                  <c:v>1993</c:v>
                </c:pt>
                <c:pt idx="7">
                  <c:v>174</c:v>
                </c:pt>
                <c:pt idx="8">
                  <c:v>884</c:v>
                </c:pt>
                <c:pt idx="9">
                  <c:v>376</c:v>
                </c:pt>
                <c:pt idx="10">
                  <c:v>48</c:v>
                </c:pt>
                <c:pt idx="11">
                  <c:v>4303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Figure30p3!$K$3</c:f>
              <c:strCache>
                <c:ptCount val="1"/>
                <c:pt idx="0">
                  <c:v>Fiscal 2011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30000"/>
                </a:schemeClr>
              </a:solidFill>
              <a:ln w="9525">
                <a:solidFill>
                  <a:schemeClr val="dk1">
                    <a:tint val="30000"/>
                  </a:schemeClr>
                </a:solidFill>
              </a:ln>
              <a:effectLst/>
            </c:spPr>
          </c:marker>
          <c:xVal>
            <c:strRef>
              <c:f>Figure30p3!$F$4:$F$15</c:f>
              <c:strCache>
                <c:ptCount val="12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January</c:v>
                </c:pt>
                <c:pt idx="7">
                  <c:v>February</c:v>
                </c:pt>
                <c:pt idx="8">
                  <c:v>March</c:v>
                </c:pt>
                <c:pt idx="9">
                  <c:v>April</c:v>
                </c:pt>
                <c:pt idx="10">
                  <c:v>May</c:v>
                </c:pt>
                <c:pt idx="11">
                  <c:v>June</c:v>
                </c:pt>
              </c:strCache>
            </c:strRef>
          </c:xVal>
          <c:yVal>
            <c:numRef>
              <c:f>Figure30p3!$K$4:$K$15</c:f>
              <c:numCache>
                <c:formatCode>General</c:formatCode>
                <c:ptCount val="12"/>
                <c:pt idx="0">
                  <c:v>3122</c:v>
                </c:pt>
                <c:pt idx="1">
                  <c:v>110</c:v>
                </c:pt>
                <c:pt idx="2">
                  <c:v>980</c:v>
                </c:pt>
                <c:pt idx="3">
                  <c:v>413</c:v>
                </c:pt>
                <c:pt idx="4">
                  <c:v>57</c:v>
                </c:pt>
                <c:pt idx="5">
                  <c:v>3842</c:v>
                </c:pt>
                <c:pt idx="6">
                  <c:v>2304</c:v>
                </c:pt>
                <c:pt idx="7">
                  <c:v>99</c:v>
                </c:pt>
                <c:pt idx="8">
                  <c:v>938</c:v>
                </c:pt>
                <c:pt idx="9">
                  <c:v>372</c:v>
                </c:pt>
                <c:pt idx="10">
                  <c:v>50</c:v>
                </c:pt>
                <c:pt idx="11">
                  <c:v>4420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Figure30p3!$L$3</c:f>
              <c:strCache>
                <c:ptCount val="1"/>
                <c:pt idx="0">
                  <c:v>Fiscal 2012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60000"/>
                </a:schemeClr>
              </a:solidFill>
              <a:ln w="9525">
                <a:solidFill>
                  <a:schemeClr val="dk1">
                    <a:tint val="60000"/>
                  </a:schemeClr>
                </a:solidFill>
              </a:ln>
              <a:effectLst/>
            </c:spPr>
          </c:marker>
          <c:xVal>
            <c:strRef>
              <c:f>Figure30p3!$F$4:$F$15</c:f>
              <c:strCache>
                <c:ptCount val="12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January</c:v>
                </c:pt>
                <c:pt idx="7">
                  <c:v>February</c:v>
                </c:pt>
                <c:pt idx="8">
                  <c:v>March</c:v>
                </c:pt>
                <c:pt idx="9">
                  <c:v>April</c:v>
                </c:pt>
                <c:pt idx="10">
                  <c:v>May</c:v>
                </c:pt>
                <c:pt idx="11">
                  <c:v>June</c:v>
                </c:pt>
              </c:strCache>
            </c:strRef>
          </c:xVal>
          <c:yVal>
            <c:numRef>
              <c:f>Figure30p3!$L$4:$L$15</c:f>
              <c:numCache>
                <c:formatCode>General</c:formatCode>
                <c:ptCount val="12"/>
                <c:pt idx="0">
                  <c:v>3455</c:v>
                </c:pt>
                <c:pt idx="1">
                  <c:v>127</c:v>
                </c:pt>
                <c:pt idx="2">
                  <c:v>1024</c:v>
                </c:pt>
                <c:pt idx="3">
                  <c:v>532</c:v>
                </c:pt>
                <c:pt idx="4">
                  <c:v>162</c:v>
                </c:pt>
                <c:pt idx="5">
                  <c:v>4391</c:v>
                </c:pt>
                <c:pt idx="6">
                  <c:v>2021</c:v>
                </c:pt>
                <c:pt idx="7">
                  <c:v>106</c:v>
                </c:pt>
                <c:pt idx="8">
                  <c:v>980</c:v>
                </c:pt>
                <c:pt idx="9">
                  <c:v>425</c:v>
                </c:pt>
                <c:pt idx="10">
                  <c:v>45</c:v>
                </c:pt>
                <c:pt idx="11">
                  <c:v>5043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Figure30p3!$M$3</c:f>
              <c:strCache>
                <c:ptCount val="1"/>
                <c:pt idx="0">
                  <c:v>Fiscal 2013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0000"/>
                </a:schemeClr>
              </a:solidFill>
              <a:ln w="9525">
                <a:solidFill>
                  <a:schemeClr val="dk1">
                    <a:tint val="80000"/>
                  </a:schemeClr>
                </a:solidFill>
              </a:ln>
              <a:effectLst/>
            </c:spPr>
          </c:marker>
          <c:xVal>
            <c:strRef>
              <c:f>Figure30p3!$F$4:$F$15</c:f>
              <c:strCache>
                <c:ptCount val="12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January</c:v>
                </c:pt>
                <c:pt idx="7">
                  <c:v>February</c:v>
                </c:pt>
                <c:pt idx="8">
                  <c:v>March</c:v>
                </c:pt>
                <c:pt idx="9">
                  <c:v>April</c:v>
                </c:pt>
                <c:pt idx="10">
                  <c:v>May</c:v>
                </c:pt>
                <c:pt idx="11">
                  <c:v>June</c:v>
                </c:pt>
              </c:strCache>
            </c:strRef>
          </c:xVal>
          <c:yVal>
            <c:numRef>
              <c:f>Figure30p3!$M$4:$M$15</c:f>
              <c:numCache>
                <c:formatCode>General</c:formatCode>
                <c:ptCount val="12"/>
                <c:pt idx="0">
                  <c:v>3091</c:v>
                </c:pt>
                <c:pt idx="1">
                  <c:v>198</c:v>
                </c:pt>
                <c:pt idx="2">
                  <c:v>790</c:v>
                </c:pt>
                <c:pt idx="3">
                  <c:v>784</c:v>
                </c:pt>
                <c:pt idx="4">
                  <c:v>78</c:v>
                </c:pt>
                <c:pt idx="5">
                  <c:v>4124</c:v>
                </c:pt>
                <c:pt idx="6">
                  <c:v>2647</c:v>
                </c:pt>
                <c:pt idx="7">
                  <c:v>86</c:v>
                </c:pt>
                <c:pt idx="8">
                  <c:v>972</c:v>
                </c:pt>
                <c:pt idx="9">
                  <c:v>440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Figure30p3!$N$3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xVal>
            <c:strRef>
              <c:f>Figure30p3!$F$4:$F$15</c:f>
              <c:strCache>
                <c:ptCount val="12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January</c:v>
                </c:pt>
                <c:pt idx="7">
                  <c:v>February</c:v>
                </c:pt>
                <c:pt idx="8">
                  <c:v>March</c:v>
                </c:pt>
                <c:pt idx="9">
                  <c:v>April</c:v>
                </c:pt>
                <c:pt idx="10">
                  <c:v>May</c:v>
                </c:pt>
                <c:pt idx="11">
                  <c:v>June</c:v>
                </c:pt>
              </c:strCache>
            </c:strRef>
          </c:xVal>
          <c:yVal>
            <c:numRef>
              <c:f>Figure30p3!$N$4:$N$15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040624"/>
        <c:axId val="373041184"/>
      </c:scatterChart>
      <c:valAx>
        <c:axId val="373040624"/>
        <c:scaling>
          <c:orientation val="minMax"/>
          <c:max val="12"/>
          <c:min val="1"/>
        </c:scaling>
        <c:delete val="0"/>
        <c:axPos val="b"/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041184"/>
        <c:crosses val="autoZero"/>
        <c:crossBetween val="midCat"/>
        <c:majorUnit val="1"/>
      </c:valAx>
      <c:valAx>
        <c:axId val="37304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Thousands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04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30.20 Deseasonalized Property</a:t>
            </a:r>
            <a:r>
              <a:rPr lang="en-US" baseline="0"/>
              <a:t> Tax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Figure30p3!$D$1</c:f>
              <c:strCache>
                <c:ptCount val="1"/>
                <c:pt idx="0">
                  <c:v>Property Tax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Figure30p3!$C$2:$C$82</c:f>
              <c:numCache>
                <c:formatCode>[$-409]mmm\-yy;@</c:formatCode>
                <c:ptCount val="81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  <c:pt idx="6">
                  <c:v>38718</c:v>
                </c:pt>
                <c:pt idx="7">
                  <c:v>38749</c:v>
                </c:pt>
                <c:pt idx="8">
                  <c:v>38777</c:v>
                </c:pt>
                <c:pt idx="9">
                  <c:v>39173</c:v>
                </c:pt>
                <c:pt idx="10">
                  <c:v>39203</c:v>
                </c:pt>
                <c:pt idx="11">
                  <c:v>39234</c:v>
                </c:pt>
                <c:pt idx="12">
                  <c:v>39264</c:v>
                </c:pt>
                <c:pt idx="13">
                  <c:v>39295</c:v>
                </c:pt>
                <c:pt idx="14">
                  <c:v>39326</c:v>
                </c:pt>
                <c:pt idx="15">
                  <c:v>39356</c:v>
                </c:pt>
                <c:pt idx="16">
                  <c:v>39387</c:v>
                </c:pt>
                <c:pt idx="17">
                  <c:v>39417</c:v>
                </c:pt>
                <c:pt idx="18">
                  <c:v>39083</c:v>
                </c:pt>
                <c:pt idx="19">
                  <c:v>39114</c:v>
                </c:pt>
                <c:pt idx="20">
                  <c:v>39142</c:v>
                </c:pt>
                <c:pt idx="21">
                  <c:v>39539</c:v>
                </c:pt>
                <c:pt idx="22">
                  <c:v>39569</c:v>
                </c:pt>
                <c:pt idx="23">
                  <c:v>39600</c:v>
                </c:pt>
                <c:pt idx="24">
                  <c:v>39630</c:v>
                </c:pt>
                <c:pt idx="25">
                  <c:v>39661</c:v>
                </c:pt>
                <c:pt idx="26">
                  <c:v>39692</c:v>
                </c:pt>
                <c:pt idx="27">
                  <c:v>39722</c:v>
                </c:pt>
                <c:pt idx="28">
                  <c:v>39753</c:v>
                </c:pt>
                <c:pt idx="29">
                  <c:v>39783</c:v>
                </c:pt>
                <c:pt idx="30">
                  <c:v>39448</c:v>
                </c:pt>
                <c:pt idx="31">
                  <c:v>39479</c:v>
                </c:pt>
                <c:pt idx="32">
                  <c:v>39508</c:v>
                </c:pt>
                <c:pt idx="33">
                  <c:v>39904</c:v>
                </c:pt>
                <c:pt idx="34">
                  <c:v>39934</c:v>
                </c:pt>
                <c:pt idx="35">
                  <c:v>39965</c:v>
                </c:pt>
                <c:pt idx="36">
                  <c:v>39995</c:v>
                </c:pt>
                <c:pt idx="37">
                  <c:v>40026</c:v>
                </c:pt>
                <c:pt idx="38">
                  <c:v>40057</c:v>
                </c:pt>
                <c:pt idx="39">
                  <c:v>40087</c:v>
                </c:pt>
                <c:pt idx="40">
                  <c:v>40118</c:v>
                </c:pt>
                <c:pt idx="41">
                  <c:v>40148</c:v>
                </c:pt>
                <c:pt idx="42">
                  <c:v>39814</c:v>
                </c:pt>
                <c:pt idx="43">
                  <c:v>39845</c:v>
                </c:pt>
                <c:pt idx="44">
                  <c:v>39873</c:v>
                </c:pt>
                <c:pt idx="45">
                  <c:v>40269</c:v>
                </c:pt>
                <c:pt idx="46">
                  <c:v>40299</c:v>
                </c:pt>
                <c:pt idx="47">
                  <c:v>40330</c:v>
                </c:pt>
                <c:pt idx="48">
                  <c:v>40360</c:v>
                </c:pt>
                <c:pt idx="49">
                  <c:v>40391</c:v>
                </c:pt>
                <c:pt idx="50">
                  <c:v>40422</c:v>
                </c:pt>
                <c:pt idx="51">
                  <c:v>40452</c:v>
                </c:pt>
                <c:pt idx="52">
                  <c:v>40483</c:v>
                </c:pt>
                <c:pt idx="53">
                  <c:v>40513</c:v>
                </c:pt>
                <c:pt idx="54">
                  <c:v>40179</c:v>
                </c:pt>
                <c:pt idx="55">
                  <c:v>40210</c:v>
                </c:pt>
                <c:pt idx="56">
                  <c:v>40238</c:v>
                </c:pt>
                <c:pt idx="57">
                  <c:v>40634</c:v>
                </c:pt>
                <c:pt idx="58">
                  <c:v>40664</c:v>
                </c:pt>
                <c:pt idx="59">
                  <c:v>40695</c:v>
                </c:pt>
                <c:pt idx="60">
                  <c:v>40725</c:v>
                </c:pt>
                <c:pt idx="61">
                  <c:v>40756</c:v>
                </c:pt>
                <c:pt idx="62">
                  <c:v>40787</c:v>
                </c:pt>
                <c:pt idx="63">
                  <c:v>40817</c:v>
                </c:pt>
                <c:pt idx="64">
                  <c:v>40848</c:v>
                </c:pt>
                <c:pt idx="65">
                  <c:v>40878</c:v>
                </c:pt>
                <c:pt idx="66">
                  <c:v>40544</c:v>
                </c:pt>
                <c:pt idx="67">
                  <c:v>40575</c:v>
                </c:pt>
                <c:pt idx="68">
                  <c:v>40603</c:v>
                </c:pt>
                <c:pt idx="69">
                  <c:v>41000</c:v>
                </c:pt>
                <c:pt idx="70">
                  <c:v>41030</c:v>
                </c:pt>
                <c:pt idx="71">
                  <c:v>41061</c:v>
                </c:pt>
                <c:pt idx="72">
                  <c:v>41091</c:v>
                </c:pt>
                <c:pt idx="73">
                  <c:v>41122</c:v>
                </c:pt>
                <c:pt idx="74">
                  <c:v>41153</c:v>
                </c:pt>
                <c:pt idx="75">
                  <c:v>41183</c:v>
                </c:pt>
                <c:pt idx="76">
                  <c:v>41214</c:v>
                </c:pt>
                <c:pt idx="77">
                  <c:v>41244</c:v>
                </c:pt>
                <c:pt idx="78">
                  <c:v>40909</c:v>
                </c:pt>
                <c:pt idx="79">
                  <c:v>40940</c:v>
                </c:pt>
                <c:pt idx="80">
                  <c:v>40969</c:v>
                </c:pt>
              </c:numCache>
            </c:numRef>
          </c:cat>
          <c:val>
            <c:numRef>
              <c:f>Figure30p3!$D$2:$D$82</c:f>
              <c:numCache>
                <c:formatCode>_(* #,##0_);_(* \(#,##0\);_(* "-"??_);_(@_)</c:formatCode>
                <c:ptCount val="81"/>
                <c:pt idx="0">
                  <c:v>2400</c:v>
                </c:pt>
                <c:pt idx="1">
                  <c:v>103</c:v>
                </c:pt>
                <c:pt idx="2">
                  <c:v>313</c:v>
                </c:pt>
                <c:pt idx="3">
                  <c:v>323</c:v>
                </c:pt>
                <c:pt idx="4">
                  <c:v>34</c:v>
                </c:pt>
                <c:pt idx="5">
                  <c:v>3207</c:v>
                </c:pt>
                <c:pt idx="6">
                  <c:v>1985</c:v>
                </c:pt>
                <c:pt idx="7">
                  <c:v>56</c:v>
                </c:pt>
                <c:pt idx="8">
                  <c:v>554</c:v>
                </c:pt>
                <c:pt idx="9">
                  <c:v>308</c:v>
                </c:pt>
                <c:pt idx="10">
                  <c:v>26</c:v>
                </c:pt>
                <c:pt idx="11">
                  <c:v>2609</c:v>
                </c:pt>
                <c:pt idx="12">
                  <c:v>3416</c:v>
                </c:pt>
                <c:pt idx="13">
                  <c:v>10</c:v>
                </c:pt>
                <c:pt idx="14">
                  <c:v>356</c:v>
                </c:pt>
                <c:pt idx="15">
                  <c:v>278</c:v>
                </c:pt>
                <c:pt idx="16">
                  <c:v>50</c:v>
                </c:pt>
                <c:pt idx="17">
                  <c:v>3256</c:v>
                </c:pt>
                <c:pt idx="18">
                  <c:v>2044</c:v>
                </c:pt>
                <c:pt idx="19">
                  <c:v>57</c:v>
                </c:pt>
                <c:pt idx="20">
                  <c:v>604</c:v>
                </c:pt>
                <c:pt idx="21">
                  <c:v>236</c:v>
                </c:pt>
                <c:pt idx="22">
                  <c:v>33</c:v>
                </c:pt>
                <c:pt idx="23">
                  <c:v>2651</c:v>
                </c:pt>
                <c:pt idx="24">
                  <c:v>3835</c:v>
                </c:pt>
                <c:pt idx="25">
                  <c:v>133</c:v>
                </c:pt>
                <c:pt idx="26">
                  <c:v>642</c:v>
                </c:pt>
                <c:pt idx="27">
                  <c:v>248</c:v>
                </c:pt>
                <c:pt idx="28">
                  <c:v>6</c:v>
                </c:pt>
                <c:pt idx="29">
                  <c:v>1492</c:v>
                </c:pt>
                <c:pt idx="30">
                  <c:v>3602</c:v>
                </c:pt>
                <c:pt idx="31">
                  <c:v>81</c:v>
                </c:pt>
                <c:pt idx="32">
                  <c:v>826</c:v>
                </c:pt>
                <c:pt idx="33">
                  <c:v>339</c:v>
                </c:pt>
                <c:pt idx="34">
                  <c:v>24</c:v>
                </c:pt>
                <c:pt idx="35">
                  <c:v>4572</c:v>
                </c:pt>
                <c:pt idx="36">
                  <c:v>2754</c:v>
                </c:pt>
                <c:pt idx="37">
                  <c:v>37</c:v>
                </c:pt>
                <c:pt idx="38">
                  <c:v>648</c:v>
                </c:pt>
                <c:pt idx="39">
                  <c:v>702</c:v>
                </c:pt>
                <c:pt idx="40">
                  <c:v>67</c:v>
                </c:pt>
                <c:pt idx="41">
                  <c:v>3826</c:v>
                </c:pt>
                <c:pt idx="42">
                  <c:v>1993</c:v>
                </c:pt>
                <c:pt idx="43">
                  <c:v>174</c:v>
                </c:pt>
                <c:pt idx="44">
                  <c:v>884</c:v>
                </c:pt>
                <c:pt idx="45">
                  <c:v>376</c:v>
                </c:pt>
                <c:pt idx="46">
                  <c:v>48</c:v>
                </c:pt>
                <c:pt idx="47">
                  <c:v>4303</c:v>
                </c:pt>
                <c:pt idx="48">
                  <c:v>3122</c:v>
                </c:pt>
                <c:pt idx="49">
                  <c:v>110</c:v>
                </c:pt>
                <c:pt idx="50">
                  <c:v>980</c:v>
                </c:pt>
                <c:pt idx="51">
                  <c:v>413</c:v>
                </c:pt>
                <c:pt idx="52">
                  <c:v>57</c:v>
                </c:pt>
                <c:pt idx="53">
                  <c:v>3842</c:v>
                </c:pt>
                <c:pt idx="54">
                  <c:v>2304</c:v>
                </c:pt>
                <c:pt idx="55">
                  <c:v>99</c:v>
                </c:pt>
                <c:pt idx="56">
                  <c:v>938</c:v>
                </c:pt>
                <c:pt idx="57">
                  <c:v>372</c:v>
                </c:pt>
                <c:pt idx="58">
                  <c:v>50</c:v>
                </c:pt>
                <c:pt idx="59">
                  <c:v>4420</c:v>
                </c:pt>
                <c:pt idx="60">
                  <c:v>3455</c:v>
                </c:pt>
                <c:pt idx="61">
                  <c:v>127</c:v>
                </c:pt>
                <c:pt idx="62">
                  <c:v>1024</c:v>
                </c:pt>
                <c:pt idx="63">
                  <c:v>532</c:v>
                </c:pt>
                <c:pt idx="64">
                  <c:v>162</c:v>
                </c:pt>
                <c:pt idx="65">
                  <c:v>4391</c:v>
                </c:pt>
                <c:pt idx="66">
                  <c:v>2021</c:v>
                </c:pt>
                <c:pt idx="67">
                  <c:v>106</c:v>
                </c:pt>
                <c:pt idx="68">
                  <c:v>980</c:v>
                </c:pt>
                <c:pt idx="69">
                  <c:v>425</c:v>
                </c:pt>
                <c:pt idx="70">
                  <c:v>45</c:v>
                </c:pt>
                <c:pt idx="71">
                  <c:v>5043</c:v>
                </c:pt>
                <c:pt idx="72">
                  <c:v>3091</c:v>
                </c:pt>
                <c:pt idx="73">
                  <c:v>198</c:v>
                </c:pt>
                <c:pt idx="74">
                  <c:v>790</c:v>
                </c:pt>
                <c:pt idx="75">
                  <c:v>784</c:v>
                </c:pt>
                <c:pt idx="76">
                  <c:v>78</c:v>
                </c:pt>
                <c:pt idx="77">
                  <c:v>4124</c:v>
                </c:pt>
                <c:pt idx="78">
                  <c:v>2647</c:v>
                </c:pt>
                <c:pt idx="79">
                  <c:v>86</c:v>
                </c:pt>
                <c:pt idx="80">
                  <c:v>972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Figure30p3!$E$1</c:f>
              <c:strCache>
                <c:ptCount val="1"/>
                <c:pt idx="0">
                  <c:v>Desasonalized Property Tax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Figure30p3!$C$2:$C$82</c:f>
              <c:numCache>
                <c:formatCode>[$-409]mmm\-yy;@</c:formatCode>
                <c:ptCount val="81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  <c:pt idx="6">
                  <c:v>38718</c:v>
                </c:pt>
                <c:pt idx="7">
                  <c:v>38749</c:v>
                </c:pt>
                <c:pt idx="8">
                  <c:v>38777</c:v>
                </c:pt>
                <c:pt idx="9">
                  <c:v>39173</c:v>
                </c:pt>
                <c:pt idx="10">
                  <c:v>39203</c:v>
                </c:pt>
                <c:pt idx="11">
                  <c:v>39234</c:v>
                </c:pt>
                <c:pt idx="12">
                  <c:v>39264</c:v>
                </c:pt>
                <c:pt idx="13">
                  <c:v>39295</c:v>
                </c:pt>
                <c:pt idx="14">
                  <c:v>39326</c:v>
                </c:pt>
                <c:pt idx="15">
                  <c:v>39356</c:v>
                </c:pt>
                <c:pt idx="16">
                  <c:v>39387</c:v>
                </c:pt>
                <c:pt idx="17">
                  <c:v>39417</c:v>
                </c:pt>
                <c:pt idx="18">
                  <c:v>39083</c:v>
                </c:pt>
                <c:pt idx="19">
                  <c:v>39114</c:v>
                </c:pt>
                <c:pt idx="20">
                  <c:v>39142</c:v>
                </c:pt>
                <c:pt idx="21">
                  <c:v>39539</c:v>
                </c:pt>
                <c:pt idx="22">
                  <c:v>39569</c:v>
                </c:pt>
                <c:pt idx="23">
                  <c:v>39600</c:v>
                </c:pt>
                <c:pt idx="24">
                  <c:v>39630</c:v>
                </c:pt>
                <c:pt idx="25">
                  <c:v>39661</c:v>
                </c:pt>
                <c:pt idx="26">
                  <c:v>39692</c:v>
                </c:pt>
                <c:pt idx="27">
                  <c:v>39722</c:v>
                </c:pt>
                <c:pt idx="28">
                  <c:v>39753</c:v>
                </c:pt>
                <c:pt idx="29">
                  <c:v>39783</c:v>
                </c:pt>
                <c:pt idx="30">
                  <c:v>39448</c:v>
                </c:pt>
                <c:pt idx="31">
                  <c:v>39479</c:v>
                </c:pt>
                <c:pt idx="32">
                  <c:v>39508</c:v>
                </c:pt>
                <c:pt idx="33">
                  <c:v>39904</c:v>
                </c:pt>
                <c:pt idx="34">
                  <c:v>39934</c:v>
                </c:pt>
                <c:pt idx="35">
                  <c:v>39965</c:v>
                </c:pt>
                <c:pt idx="36">
                  <c:v>39995</c:v>
                </c:pt>
                <c:pt idx="37">
                  <c:v>40026</c:v>
                </c:pt>
                <c:pt idx="38">
                  <c:v>40057</c:v>
                </c:pt>
                <c:pt idx="39">
                  <c:v>40087</c:v>
                </c:pt>
                <c:pt idx="40">
                  <c:v>40118</c:v>
                </c:pt>
                <c:pt idx="41">
                  <c:v>40148</c:v>
                </c:pt>
                <c:pt idx="42">
                  <c:v>39814</c:v>
                </c:pt>
                <c:pt idx="43">
                  <c:v>39845</c:v>
                </c:pt>
                <c:pt idx="44">
                  <c:v>39873</c:v>
                </c:pt>
                <c:pt idx="45">
                  <c:v>40269</c:v>
                </c:pt>
                <c:pt idx="46">
                  <c:v>40299</c:v>
                </c:pt>
                <c:pt idx="47">
                  <c:v>40330</c:v>
                </c:pt>
                <c:pt idx="48">
                  <c:v>40360</c:v>
                </c:pt>
                <c:pt idx="49">
                  <c:v>40391</c:v>
                </c:pt>
                <c:pt idx="50">
                  <c:v>40422</c:v>
                </c:pt>
                <c:pt idx="51">
                  <c:v>40452</c:v>
                </c:pt>
                <c:pt idx="52">
                  <c:v>40483</c:v>
                </c:pt>
                <c:pt idx="53">
                  <c:v>40513</c:v>
                </c:pt>
                <c:pt idx="54">
                  <c:v>40179</c:v>
                </c:pt>
                <c:pt idx="55">
                  <c:v>40210</c:v>
                </c:pt>
                <c:pt idx="56">
                  <c:v>40238</c:v>
                </c:pt>
                <c:pt idx="57">
                  <c:v>40634</c:v>
                </c:pt>
                <c:pt idx="58">
                  <c:v>40664</c:v>
                </c:pt>
                <c:pt idx="59">
                  <c:v>40695</c:v>
                </c:pt>
                <c:pt idx="60">
                  <c:v>40725</c:v>
                </c:pt>
                <c:pt idx="61">
                  <c:v>40756</c:v>
                </c:pt>
                <c:pt idx="62">
                  <c:v>40787</c:v>
                </c:pt>
                <c:pt idx="63">
                  <c:v>40817</c:v>
                </c:pt>
                <c:pt idx="64">
                  <c:v>40848</c:v>
                </c:pt>
                <c:pt idx="65">
                  <c:v>40878</c:v>
                </c:pt>
                <c:pt idx="66">
                  <c:v>40544</c:v>
                </c:pt>
                <c:pt idx="67">
                  <c:v>40575</c:v>
                </c:pt>
                <c:pt idx="68">
                  <c:v>40603</c:v>
                </c:pt>
                <c:pt idx="69">
                  <c:v>41000</c:v>
                </c:pt>
                <c:pt idx="70">
                  <c:v>41030</c:v>
                </c:pt>
                <c:pt idx="71">
                  <c:v>41061</c:v>
                </c:pt>
                <c:pt idx="72">
                  <c:v>41091</c:v>
                </c:pt>
                <c:pt idx="73">
                  <c:v>41122</c:v>
                </c:pt>
                <c:pt idx="74">
                  <c:v>41153</c:v>
                </c:pt>
                <c:pt idx="75">
                  <c:v>41183</c:v>
                </c:pt>
                <c:pt idx="76">
                  <c:v>41214</c:v>
                </c:pt>
                <c:pt idx="77">
                  <c:v>41244</c:v>
                </c:pt>
                <c:pt idx="78">
                  <c:v>40909</c:v>
                </c:pt>
                <c:pt idx="79">
                  <c:v>40940</c:v>
                </c:pt>
                <c:pt idx="80">
                  <c:v>40969</c:v>
                </c:pt>
              </c:numCache>
            </c:numRef>
          </c:cat>
          <c:val>
            <c:numRef>
              <c:f>Figure30p3!$E$2:$E$82</c:f>
              <c:numCache>
                <c:formatCode>General</c:formatCode>
                <c:ptCount val="81"/>
                <c:pt idx="0">
                  <c:v>936.5</c:v>
                </c:pt>
                <c:pt idx="1">
                  <c:v>1217.5</c:v>
                </c:pt>
                <c:pt idx="2">
                  <c:v>562.4</c:v>
                </c:pt>
                <c:pt idx="3">
                  <c:v>874.8</c:v>
                </c:pt>
                <c:pt idx="4">
                  <c:v>565.20000000000005</c:v>
                </c:pt>
                <c:pt idx="5">
                  <c:v>1257.9000000000001</c:v>
                </c:pt>
                <c:pt idx="6">
                  <c:v>1077.4000000000001</c:v>
                </c:pt>
                <c:pt idx="7">
                  <c:v>678.8</c:v>
                </c:pt>
                <c:pt idx="8">
                  <c:v>893.9</c:v>
                </c:pt>
                <c:pt idx="9">
                  <c:v>1131.2</c:v>
                </c:pt>
                <c:pt idx="10">
                  <c:v>675.6</c:v>
                </c:pt>
                <c:pt idx="11">
                  <c:v>880.9</c:v>
                </c:pt>
                <c:pt idx="12">
                  <c:v>1333</c:v>
                </c:pt>
                <c:pt idx="13">
                  <c:v>118.2</c:v>
                </c:pt>
                <c:pt idx="14">
                  <c:v>639.70000000000005</c:v>
                </c:pt>
                <c:pt idx="15">
                  <c:v>752.9</c:v>
                </c:pt>
                <c:pt idx="16">
                  <c:v>831.2</c:v>
                </c:pt>
                <c:pt idx="17">
                  <c:v>1277.0999999999999</c:v>
                </c:pt>
                <c:pt idx="18">
                  <c:v>1109.4000000000001</c:v>
                </c:pt>
                <c:pt idx="19">
                  <c:v>690.9</c:v>
                </c:pt>
                <c:pt idx="20">
                  <c:v>974.6</c:v>
                </c:pt>
                <c:pt idx="21">
                  <c:v>866.8</c:v>
                </c:pt>
                <c:pt idx="22">
                  <c:v>857.5</c:v>
                </c:pt>
                <c:pt idx="23">
                  <c:v>895.1</c:v>
                </c:pt>
                <c:pt idx="24">
                  <c:v>1496.5</c:v>
                </c:pt>
                <c:pt idx="25">
                  <c:v>1572.2</c:v>
                </c:pt>
                <c:pt idx="26">
                  <c:v>1153.5999999999999</c:v>
                </c:pt>
                <c:pt idx="27">
                  <c:v>671.7</c:v>
                </c:pt>
                <c:pt idx="28">
                  <c:v>99.7</c:v>
                </c:pt>
                <c:pt idx="29">
                  <c:v>585.20000000000005</c:v>
                </c:pt>
                <c:pt idx="30">
                  <c:v>1955</c:v>
                </c:pt>
                <c:pt idx="31">
                  <c:v>981.8</c:v>
                </c:pt>
                <c:pt idx="32">
                  <c:v>1332.8</c:v>
                </c:pt>
                <c:pt idx="33">
                  <c:v>1245.0999999999999</c:v>
                </c:pt>
                <c:pt idx="34">
                  <c:v>623.6</c:v>
                </c:pt>
                <c:pt idx="35">
                  <c:v>1543.6</c:v>
                </c:pt>
                <c:pt idx="36">
                  <c:v>1074.7</c:v>
                </c:pt>
                <c:pt idx="37">
                  <c:v>437.4</c:v>
                </c:pt>
                <c:pt idx="38">
                  <c:v>1164.3</c:v>
                </c:pt>
                <c:pt idx="39">
                  <c:v>1901.3</c:v>
                </c:pt>
                <c:pt idx="40">
                  <c:v>1113.8</c:v>
                </c:pt>
                <c:pt idx="41">
                  <c:v>1500.7</c:v>
                </c:pt>
                <c:pt idx="42">
                  <c:v>1081.7</c:v>
                </c:pt>
                <c:pt idx="43">
                  <c:v>2109</c:v>
                </c:pt>
                <c:pt idx="44">
                  <c:v>1426.4</c:v>
                </c:pt>
                <c:pt idx="45">
                  <c:v>1381</c:v>
                </c:pt>
                <c:pt idx="46">
                  <c:v>1247.3</c:v>
                </c:pt>
                <c:pt idx="47">
                  <c:v>1452.8</c:v>
                </c:pt>
                <c:pt idx="48">
                  <c:v>1218.3</c:v>
                </c:pt>
                <c:pt idx="49">
                  <c:v>1300.3</c:v>
                </c:pt>
                <c:pt idx="50">
                  <c:v>1760.9</c:v>
                </c:pt>
                <c:pt idx="51">
                  <c:v>1118.5999999999999</c:v>
                </c:pt>
                <c:pt idx="52">
                  <c:v>947.6</c:v>
                </c:pt>
                <c:pt idx="53">
                  <c:v>1507</c:v>
                </c:pt>
                <c:pt idx="54">
                  <c:v>1250.5</c:v>
                </c:pt>
                <c:pt idx="55">
                  <c:v>1200</c:v>
                </c:pt>
                <c:pt idx="56">
                  <c:v>1513.5</c:v>
                </c:pt>
                <c:pt idx="57">
                  <c:v>1366.3</c:v>
                </c:pt>
                <c:pt idx="58">
                  <c:v>1299.3</c:v>
                </c:pt>
                <c:pt idx="59">
                  <c:v>1492.3</c:v>
                </c:pt>
                <c:pt idx="60">
                  <c:v>1348.2</c:v>
                </c:pt>
                <c:pt idx="61">
                  <c:v>1501.2</c:v>
                </c:pt>
                <c:pt idx="62">
                  <c:v>1840</c:v>
                </c:pt>
                <c:pt idx="63">
                  <c:v>1440.9</c:v>
                </c:pt>
                <c:pt idx="64">
                  <c:v>2693.1</c:v>
                </c:pt>
                <c:pt idx="65">
                  <c:v>1722.3</c:v>
                </c:pt>
                <c:pt idx="66">
                  <c:v>1096.9000000000001</c:v>
                </c:pt>
                <c:pt idx="67">
                  <c:v>1284.8</c:v>
                </c:pt>
                <c:pt idx="68">
                  <c:v>1581.2</c:v>
                </c:pt>
                <c:pt idx="69">
                  <c:v>1560.9</c:v>
                </c:pt>
                <c:pt idx="70">
                  <c:v>1169.3</c:v>
                </c:pt>
                <c:pt idx="71">
                  <c:v>1702.7</c:v>
                </c:pt>
                <c:pt idx="72">
                  <c:v>1206.2</c:v>
                </c:pt>
                <c:pt idx="73">
                  <c:v>2340.5</c:v>
                </c:pt>
                <c:pt idx="74">
                  <c:v>1419.5</c:v>
                </c:pt>
                <c:pt idx="75">
                  <c:v>2123.4</c:v>
                </c:pt>
                <c:pt idx="76">
                  <c:v>1296.7</c:v>
                </c:pt>
                <c:pt idx="77">
                  <c:v>1617.6</c:v>
                </c:pt>
                <c:pt idx="78">
                  <c:v>1436.7</c:v>
                </c:pt>
                <c:pt idx="79">
                  <c:v>1042.4000000000001</c:v>
                </c:pt>
                <c:pt idx="80">
                  <c:v>1568.3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556432"/>
        <c:axId val="404556992"/>
      </c:lineChart>
      <c:dateAx>
        <c:axId val="4045564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56992"/>
        <c:crosses val="autoZero"/>
        <c:auto val="1"/>
        <c:lblOffset val="100"/>
        <c:baseTimeUnit val="months"/>
        <c:majorUnit val="12"/>
        <c:majorTimeUnit val="months"/>
      </c:dateAx>
      <c:valAx>
        <c:axId val="40455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5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Rev Per Gal/Lag 1  Residual Plot</a:t>
            </a:r>
          </a:p>
        </c:rich>
      </c:tx>
      <c:layout>
        <c:manualLayout>
          <c:xMode val="edge"/>
          <c:yMode val="edge"/>
          <c:x val="0.18948270241337722"/>
          <c:y val="2.366863170149196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'Water&amp;Sewer'!$AE$14:$AE$42</c:f>
              <c:numCache>
                <c:formatCode>0.000</c:formatCode>
                <c:ptCount val="29"/>
                <c:pt idx="0">
                  <c:v>-3.3730507172339501</c:v>
                </c:pt>
                <c:pt idx="1">
                  <c:v>-3.3233758762254357</c:v>
                </c:pt>
                <c:pt idx="2">
                  <c:v>-3.2567701369325355</c:v>
                </c:pt>
                <c:pt idx="3">
                  <c:v>-3.1988267920899829</c:v>
                </c:pt>
                <c:pt idx="4">
                  <c:v>-3.1793157233840379</c:v>
                </c:pt>
                <c:pt idx="5">
                  <c:v>-3.1503983014724577</c:v>
                </c:pt>
                <c:pt idx="6">
                  <c:v>-3.0358372796124558</c:v>
                </c:pt>
                <c:pt idx="7">
                  <c:v>-3.0528084979649419</c:v>
                </c:pt>
                <c:pt idx="8">
                  <c:v>-3.0844750916500048</c:v>
                </c:pt>
                <c:pt idx="9">
                  <c:v>-2.9967974731527818</c:v>
                </c:pt>
                <c:pt idx="10">
                  <c:v>-2.9532140199358836</c:v>
                </c:pt>
                <c:pt idx="11">
                  <c:v>-2.9402204070433928</c:v>
                </c:pt>
                <c:pt idx="12">
                  <c:v>-2.9283420766941926</c:v>
                </c:pt>
                <c:pt idx="13">
                  <c:v>-2.8490367542756379</c:v>
                </c:pt>
                <c:pt idx="14">
                  <c:v>-2.8425065853480942</c:v>
                </c:pt>
                <c:pt idx="15">
                  <c:v>-2.8267100846478512</c:v>
                </c:pt>
                <c:pt idx="16">
                  <c:v>-2.8220308249556241</c:v>
                </c:pt>
                <c:pt idx="17">
                  <c:v>-2.7860540855813931</c:v>
                </c:pt>
                <c:pt idx="18">
                  <c:v>-2.7281657095839549</c:v>
                </c:pt>
                <c:pt idx="19">
                  <c:v>-2.7588776179923191</c:v>
                </c:pt>
                <c:pt idx="20">
                  <c:v>-2.7509619592051298</c:v>
                </c:pt>
                <c:pt idx="21">
                  <c:v>-2.7302718549746356</c:v>
                </c:pt>
                <c:pt idx="22">
                  <c:v>-2.703392777333014</c:v>
                </c:pt>
                <c:pt idx="23">
                  <c:v>-2.6899673533179147</c:v>
                </c:pt>
                <c:pt idx="24">
                  <c:v>-2.6543729684384996</c:v>
                </c:pt>
                <c:pt idx="25">
                  <c:v>-2.6507601148664075</c:v>
                </c:pt>
                <c:pt idx="26">
                  <c:v>-2.6111617186017493</c:v>
                </c:pt>
                <c:pt idx="27">
                  <c:v>-2.5642587112283786</c:v>
                </c:pt>
                <c:pt idx="28">
                  <c:v>-2.5303541551002513</c:v>
                </c:pt>
              </c:numCache>
            </c:numRef>
          </c:xVal>
          <c:yVal>
            <c:numRef>
              <c:f>'Water&amp;Sewer'!$AL$67:$AL$95</c:f>
              <c:numCache>
                <c:formatCode>General</c:formatCode>
                <c:ptCount val="29"/>
                <c:pt idx="0">
                  <c:v>4.3177278429613608E-3</c:v>
                </c:pt>
                <c:pt idx="1">
                  <c:v>-3.9055396823286515E-2</c:v>
                </c:pt>
                <c:pt idx="2">
                  <c:v>3.2296194197877881E-2</c:v>
                </c:pt>
                <c:pt idx="3">
                  <c:v>-8.083804456976651E-3</c:v>
                </c:pt>
                <c:pt idx="4">
                  <c:v>3.0897406442900177E-3</c:v>
                </c:pt>
                <c:pt idx="5">
                  <c:v>3.7596509306062842E-2</c:v>
                </c:pt>
                <c:pt idx="6">
                  <c:v>-4.3683992438092289E-2</c:v>
                </c:pt>
                <c:pt idx="7">
                  <c:v>-3.6884798784150519E-2</c:v>
                </c:pt>
                <c:pt idx="8">
                  <c:v>6.8510420894885016E-2</c:v>
                </c:pt>
                <c:pt idx="9">
                  <c:v>-6.635273740217329E-3</c:v>
                </c:pt>
                <c:pt idx="10">
                  <c:v>-9.8250155315700027E-3</c:v>
                </c:pt>
                <c:pt idx="11">
                  <c:v>5.0358107423136289E-3</c:v>
                </c:pt>
                <c:pt idx="12">
                  <c:v>1.5851048908684717E-2</c:v>
                </c:pt>
                <c:pt idx="13">
                  <c:v>-2.2998816864957305E-2</c:v>
                </c:pt>
                <c:pt idx="14">
                  <c:v>-4.5289535352726062E-3</c:v>
                </c:pt>
                <c:pt idx="15">
                  <c:v>-1.8991278485403384E-2</c:v>
                </c:pt>
                <c:pt idx="16">
                  <c:v>1.1992724178577774E-2</c:v>
                </c:pt>
                <c:pt idx="17">
                  <c:v>1.3430290431491798E-2</c:v>
                </c:pt>
                <c:pt idx="18">
                  <c:v>-4.1913399951754471E-2</c:v>
                </c:pt>
                <c:pt idx="19">
                  <c:v>4.9121855651002022E-4</c:v>
                </c:pt>
                <c:pt idx="20">
                  <c:v>1.3658272573660923E-2</c:v>
                </c:pt>
                <c:pt idx="21">
                  <c:v>1.9851860659212406E-3</c:v>
                </c:pt>
                <c:pt idx="22">
                  <c:v>-1.7334072295421166E-2</c:v>
                </c:pt>
                <c:pt idx="23">
                  <c:v>9.5447777501256326E-4</c:v>
                </c:pt>
                <c:pt idx="24">
                  <c:v>-1.7809466733410773E-2</c:v>
                </c:pt>
                <c:pt idx="25">
                  <c:v>1.7027010807769472E-2</c:v>
                </c:pt>
                <c:pt idx="26">
                  <c:v>7.5751132880093053E-3</c:v>
                </c:pt>
                <c:pt idx="27">
                  <c:v>2.4405061953521212E-2</c:v>
                </c:pt>
                <c:pt idx="28">
                  <c:v>9.5274614730520568E-3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585168"/>
        <c:axId val="361585728"/>
      </c:scatterChart>
      <c:valAx>
        <c:axId val="36158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Rev Per Gal/Lag 1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61585728"/>
        <c:crosses val="autoZero"/>
        <c:crossBetween val="midCat"/>
      </c:valAx>
      <c:valAx>
        <c:axId val="36158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585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Thousand Gallons Per Cap/Lag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'Water&amp;Sewer'!$AF$14:$AF$42</c:f>
              <c:numCache>
                <c:formatCode>_(* #,##0.00_);_(* \(#,##0.00\);_(* "-"??_);_(@_)</c:formatCode>
                <c:ptCount val="29"/>
                <c:pt idx="0">
                  <c:v>78.061959893597503</c:v>
                </c:pt>
                <c:pt idx="1">
                  <c:v>77.877302844779749</c:v>
                </c:pt>
                <c:pt idx="2">
                  <c:v>67.419709805525969</c:v>
                </c:pt>
                <c:pt idx="3">
                  <c:v>70.568589470150982</c:v>
                </c:pt>
                <c:pt idx="4">
                  <c:v>72.393824244329579</c:v>
                </c:pt>
                <c:pt idx="5">
                  <c:v>73.930770740987555</c:v>
                </c:pt>
                <c:pt idx="6">
                  <c:v>66.50017699776609</c:v>
                </c:pt>
                <c:pt idx="7">
                  <c:v>67.790306443721377</c:v>
                </c:pt>
                <c:pt idx="8">
                  <c:v>72.425403435996216</c:v>
                </c:pt>
                <c:pt idx="9">
                  <c:v>74.055440999748825</c:v>
                </c:pt>
                <c:pt idx="10">
                  <c:v>70.06045969690399</c:v>
                </c:pt>
                <c:pt idx="11">
                  <c:v>71.146327849986875</c:v>
                </c:pt>
                <c:pt idx="12">
                  <c:v>74.764866572346349</c:v>
                </c:pt>
                <c:pt idx="13">
                  <c:v>68.345231372181971</c:v>
                </c:pt>
                <c:pt idx="14">
                  <c:v>65.980486253275572</c:v>
                </c:pt>
                <c:pt idx="15">
                  <c:v>64.923084380535144</c:v>
                </c:pt>
                <c:pt idx="16">
                  <c:v>63.036862061985808</c:v>
                </c:pt>
                <c:pt idx="17">
                  <c:v>60.942557885868588</c:v>
                </c:pt>
                <c:pt idx="18">
                  <c:v>55.993000485221977</c:v>
                </c:pt>
                <c:pt idx="19">
                  <c:v>56.159548848340265</c:v>
                </c:pt>
                <c:pt idx="20">
                  <c:v>56.316693824541261</c:v>
                </c:pt>
                <c:pt idx="21">
                  <c:v>56.150106341985754</c:v>
                </c:pt>
                <c:pt idx="22">
                  <c:v>53.684836471754217</c:v>
                </c:pt>
                <c:pt idx="23">
                  <c:v>51.3745971311861</c:v>
                </c:pt>
                <c:pt idx="24">
                  <c:v>49.631025120577632</c:v>
                </c:pt>
                <c:pt idx="25">
                  <c:v>50.218210370470942</c:v>
                </c:pt>
                <c:pt idx="26">
                  <c:v>50.563641854182421</c:v>
                </c:pt>
                <c:pt idx="27">
                  <c:v>48.675624159650106</c:v>
                </c:pt>
                <c:pt idx="28">
                  <c:v>50.53018673941321</c:v>
                </c:pt>
              </c:numCache>
            </c:numRef>
          </c:xVal>
          <c:yVal>
            <c:numRef>
              <c:f>'Water&amp;Sewer'!$AL$67:$AL$95</c:f>
              <c:numCache>
                <c:formatCode>General</c:formatCode>
                <c:ptCount val="29"/>
                <c:pt idx="0">
                  <c:v>4.3177278429613608E-3</c:v>
                </c:pt>
                <c:pt idx="1">
                  <c:v>-3.9055396823286515E-2</c:v>
                </c:pt>
                <c:pt idx="2">
                  <c:v>3.2296194197877881E-2</c:v>
                </c:pt>
                <c:pt idx="3">
                  <c:v>-8.083804456976651E-3</c:v>
                </c:pt>
                <c:pt idx="4">
                  <c:v>3.0897406442900177E-3</c:v>
                </c:pt>
                <c:pt idx="5">
                  <c:v>3.7596509306062842E-2</c:v>
                </c:pt>
                <c:pt idx="6">
                  <c:v>-4.3683992438092289E-2</c:v>
                </c:pt>
                <c:pt idx="7">
                  <c:v>-3.6884798784150519E-2</c:v>
                </c:pt>
                <c:pt idx="8">
                  <c:v>6.8510420894885016E-2</c:v>
                </c:pt>
                <c:pt idx="9">
                  <c:v>-6.635273740217329E-3</c:v>
                </c:pt>
                <c:pt idx="10">
                  <c:v>-9.8250155315700027E-3</c:v>
                </c:pt>
                <c:pt idx="11">
                  <c:v>5.0358107423136289E-3</c:v>
                </c:pt>
                <c:pt idx="12">
                  <c:v>1.5851048908684717E-2</c:v>
                </c:pt>
                <c:pt idx="13">
                  <c:v>-2.2998816864957305E-2</c:v>
                </c:pt>
                <c:pt idx="14">
                  <c:v>-4.5289535352726062E-3</c:v>
                </c:pt>
                <c:pt idx="15">
                  <c:v>-1.8991278485403384E-2</c:v>
                </c:pt>
                <c:pt idx="16">
                  <c:v>1.1992724178577774E-2</c:v>
                </c:pt>
                <c:pt idx="17">
                  <c:v>1.3430290431491798E-2</c:v>
                </c:pt>
                <c:pt idx="18">
                  <c:v>-4.1913399951754471E-2</c:v>
                </c:pt>
                <c:pt idx="19">
                  <c:v>4.9121855651002022E-4</c:v>
                </c:pt>
                <c:pt idx="20">
                  <c:v>1.3658272573660923E-2</c:v>
                </c:pt>
                <c:pt idx="21">
                  <c:v>1.9851860659212406E-3</c:v>
                </c:pt>
                <c:pt idx="22">
                  <c:v>-1.7334072295421166E-2</c:v>
                </c:pt>
                <c:pt idx="23">
                  <c:v>9.5447777501256326E-4</c:v>
                </c:pt>
                <c:pt idx="24">
                  <c:v>-1.7809466733410773E-2</c:v>
                </c:pt>
                <c:pt idx="25">
                  <c:v>1.7027010807769472E-2</c:v>
                </c:pt>
                <c:pt idx="26">
                  <c:v>7.5751132880093053E-3</c:v>
                </c:pt>
                <c:pt idx="27">
                  <c:v>2.4405061953521212E-2</c:v>
                </c:pt>
                <c:pt idx="28">
                  <c:v>9.5274614730520568E-3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402384"/>
        <c:axId val="234402944"/>
      </c:scatterChart>
      <c:valAx>
        <c:axId val="23440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Thousand Gallons Per Cap/Lag 1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crossAx val="234402944"/>
        <c:crosses val="autoZero"/>
        <c:crossBetween val="midCat"/>
      </c:valAx>
      <c:valAx>
        <c:axId val="23440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4402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 Rev Per Gal/Lag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 Revenue</c:v>
          </c:tx>
          <c:spPr>
            <a:ln w="28575">
              <a:noFill/>
            </a:ln>
          </c:spPr>
          <c:xVal>
            <c:numRef>
              <c:f>'Water&amp;Sewer'!$AE$14:$AE$42</c:f>
              <c:numCache>
                <c:formatCode>0.000</c:formatCode>
                <c:ptCount val="29"/>
                <c:pt idx="0">
                  <c:v>-3.3730507172339501</c:v>
                </c:pt>
                <c:pt idx="1">
                  <c:v>-3.3233758762254357</c:v>
                </c:pt>
                <c:pt idx="2">
                  <c:v>-3.2567701369325355</c:v>
                </c:pt>
                <c:pt idx="3">
                  <c:v>-3.1988267920899829</c:v>
                </c:pt>
                <c:pt idx="4">
                  <c:v>-3.1793157233840379</c:v>
                </c:pt>
                <c:pt idx="5">
                  <c:v>-3.1503983014724577</c:v>
                </c:pt>
                <c:pt idx="6">
                  <c:v>-3.0358372796124558</c:v>
                </c:pt>
                <c:pt idx="7">
                  <c:v>-3.0528084979649419</c:v>
                </c:pt>
                <c:pt idx="8">
                  <c:v>-3.0844750916500048</c:v>
                </c:pt>
                <c:pt idx="9">
                  <c:v>-2.9967974731527818</c:v>
                </c:pt>
                <c:pt idx="10">
                  <c:v>-2.9532140199358836</c:v>
                </c:pt>
                <c:pt idx="11">
                  <c:v>-2.9402204070433928</c:v>
                </c:pt>
                <c:pt idx="12">
                  <c:v>-2.9283420766941926</c:v>
                </c:pt>
                <c:pt idx="13">
                  <c:v>-2.8490367542756379</c:v>
                </c:pt>
                <c:pt idx="14">
                  <c:v>-2.8425065853480942</c:v>
                </c:pt>
                <c:pt idx="15">
                  <c:v>-2.8267100846478512</c:v>
                </c:pt>
                <c:pt idx="16">
                  <c:v>-2.8220308249556241</c:v>
                </c:pt>
                <c:pt idx="17">
                  <c:v>-2.7860540855813931</c:v>
                </c:pt>
                <c:pt idx="18">
                  <c:v>-2.7281657095839549</c:v>
                </c:pt>
                <c:pt idx="19">
                  <c:v>-2.7588776179923191</c:v>
                </c:pt>
                <c:pt idx="20">
                  <c:v>-2.7509619592051298</c:v>
                </c:pt>
                <c:pt idx="21">
                  <c:v>-2.7302718549746356</c:v>
                </c:pt>
                <c:pt idx="22">
                  <c:v>-2.703392777333014</c:v>
                </c:pt>
                <c:pt idx="23">
                  <c:v>-2.6899673533179147</c:v>
                </c:pt>
                <c:pt idx="24">
                  <c:v>-2.6543729684384996</c:v>
                </c:pt>
                <c:pt idx="25">
                  <c:v>-2.6507601148664075</c:v>
                </c:pt>
                <c:pt idx="26">
                  <c:v>-2.6111617186017493</c:v>
                </c:pt>
                <c:pt idx="27">
                  <c:v>-2.5642587112283786</c:v>
                </c:pt>
                <c:pt idx="28">
                  <c:v>-2.5303541551002513</c:v>
                </c:pt>
              </c:numCache>
            </c:numRef>
          </c:xVal>
          <c:yVal>
            <c:numRef>
              <c:f>'Water&amp;Sewer'!$AG$14:$AG$42</c:f>
              <c:numCache>
                <c:formatCode>0.000</c:formatCode>
                <c:ptCount val="29"/>
                <c:pt idx="0">
                  <c:v>8.4179013424611906</c:v>
                </c:pt>
                <c:pt idx="1">
                  <c:v>8.4225618954016177</c:v>
                </c:pt>
                <c:pt idx="2">
                  <c:v>8.5040997975013095</c:v>
                </c:pt>
                <c:pt idx="3">
                  <c:v>8.5376143506113547</c:v>
                </c:pt>
                <c:pt idx="4">
                  <c:v>8.5777321876741457</c:v>
                </c:pt>
                <c:pt idx="5">
                  <c:v>8.648933599525531</c:v>
                </c:pt>
                <c:pt idx="6">
                  <c:v>8.6412314872934832</c:v>
                </c:pt>
                <c:pt idx="7">
                  <c:v>8.6381362107904724</c:v>
                </c:pt>
                <c:pt idx="8">
                  <c:v>8.7369000261338225</c:v>
                </c:pt>
                <c:pt idx="9">
                  <c:v>8.7569221387995011</c:v>
                </c:pt>
                <c:pt idx="10">
                  <c:v>8.7755214460140643</c:v>
                </c:pt>
                <c:pt idx="11">
                  <c:v>8.8089694636989098</c:v>
                </c:pt>
                <c:pt idx="12">
                  <c:v>8.8507208667790653</c:v>
                </c:pt>
                <c:pt idx="13">
                  <c:v>8.8560310808545228</c:v>
                </c:pt>
                <c:pt idx="14">
                  <c:v>8.8683865978106233</c:v>
                </c:pt>
                <c:pt idx="15">
                  <c:v>8.8638955167207421</c:v>
                </c:pt>
                <c:pt idx="16">
                  <c:v>8.8894800113076808</c:v>
                </c:pt>
                <c:pt idx="17">
                  <c:v>8.9152943695859914</c:v>
                </c:pt>
                <c:pt idx="18">
                  <c:v>8.8907852720518417</c:v>
                </c:pt>
                <c:pt idx="19">
                  <c:v>8.9037708165824867</c:v>
                </c:pt>
                <c:pt idx="20">
                  <c:v>8.9255827670471284</c:v>
                </c:pt>
                <c:pt idx="21">
                  <c:v>8.9334400104482974</c:v>
                </c:pt>
                <c:pt idx="22">
                  <c:v>8.927550894992379</c:v>
                </c:pt>
                <c:pt idx="23">
                  <c:v>8.9468181081325078</c:v>
                </c:pt>
                <c:pt idx="24">
                  <c:v>8.9539162042248126</c:v>
                </c:pt>
                <c:pt idx="25">
                  <c:v>8.9954356650306391</c:v>
                </c:pt>
                <c:pt idx="26">
                  <c:v>9.0268899626185402</c:v>
                </c:pt>
                <c:pt idx="27">
                  <c:v>9.0799731342399816</c:v>
                </c:pt>
                <c:pt idx="28">
                  <c:v>9.1083976531543929</c:v>
                </c:pt>
              </c:numCache>
            </c:numRef>
          </c:yVal>
          <c:smooth val="0"/>
        </c:ser>
        <c:ser>
          <c:idx val="1"/>
          <c:order val="1"/>
          <c:tx>
            <c:v>Predicted Log Revenue</c:v>
          </c:tx>
          <c:spPr>
            <a:ln w="28575">
              <a:noFill/>
            </a:ln>
          </c:spPr>
          <c:xVal>
            <c:numRef>
              <c:f>'Water&amp;Sewer'!$AE$14:$AE$42</c:f>
              <c:numCache>
                <c:formatCode>0.000</c:formatCode>
                <c:ptCount val="29"/>
                <c:pt idx="0">
                  <c:v>-3.3730507172339501</c:v>
                </c:pt>
                <c:pt idx="1">
                  <c:v>-3.3233758762254357</c:v>
                </c:pt>
                <c:pt idx="2">
                  <c:v>-3.2567701369325355</c:v>
                </c:pt>
                <c:pt idx="3">
                  <c:v>-3.1988267920899829</c:v>
                </c:pt>
                <c:pt idx="4">
                  <c:v>-3.1793157233840379</c:v>
                </c:pt>
                <c:pt idx="5">
                  <c:v>-3.1503983014724577</c:v>
                </c:pt>
                <c:pt idx="6">
                  <c:v>-3.0358372796124558</c:v>
                </c:pt>
                <c:pt idx="7">
                  <c:v>-3.0528084979649419</c:v>
                </c:pt>
                <c:pt idx="8">
                  <c:v>-3.0844750916500048</c:v>
                </c:pt>
                <c:pt idx="9">
                  <c:v>-2.9967974731527818</c:v>
                </c:pt>
                <c:pt idx="10">
                  <c:v>-2.9532140199358836</c:v>
                </c:pt>
                <c:pt idx="11">
                  <c:v>-2.9402204070433928</c:v>
                </c:pt>
                <c:pt idx="12">
                  <c:v>-2.9283420766941926</c:v>
                </c:pt>
                <c:pt idx="13">
                  <c:v>-2.8490367542756379</c:v>
                </c:pt>
                <c:pt idx="14">
                  <c:v>-2.8425065853480942</c:v>
                </c:pt>
                <c:pt idx="15">
                  <c:v>-2.8267100846478512</c:v>
                </c:pt>
                <c:pt idx="16">
                  <c:v>-2.8220308249556241</c:v>
                </c:pt>
                <c:pt idx="17">
                  <c:v>-2.7860540855813931</c:v>
                </c:pt>
                <c:pt idx="18">
                  <c:v>-2.7281657095839549</c:v>
                </c:pt>
                <c:pt idx="19">
                  <c:v>-2.7588776179923191</c:v>
                </c:pt>
                <c:pt idx="20">
                  <c:v>-2.7509619592051298</c:v>
                </c:pt>
                <c:pt idx="21">
                  <c:v>-2.7302718549746356</c:v>
                </c:pt>
                <c:pt idx="22">
                  <c:v>-2.703392777333014</c:v>
                </c:pt>
                <c:pt idx="23">
                  <c:v>-2.6899673533179147</c:v>
                </c:pt>
                <c:pt idx="24">
                  <c:v>-2.6543729684384996</c:v>
                </c:pt>
                <c:pt idx="25">
                  <c:v>-2.6507601148664075</c:v>
                </c:pt>
                <c:pt idx="26">
                  <c:v>-2.6111617186017493</c:v>
                </c:pt>
                <c:pt idx="27">
                  <c:v>-2.5642587112283786</c:v>
                </c:pt>
                <c:pt idx="28">
                  <c:v>-2.5303541551002513</c:v>
                </c:pt>
              </c:numCache>
            </c:numRef>
          </c:xVal>
          <c:yVal>
            <c:numRef>
              <c:f>'Water&amp;Sewer'!$AK$67:$AK$95</c:f>
              <c:numCache>
                <c:formatCode>General</c:formatCode>
                <c:ptCount val="29"/>
                <c:pt idx="0">
                  <c:v>8.4135836146182292</c:v>
                </c:pt>
                <c:pt idx="1">
                  <c:v>8.4616172922249042</c:v>
                </c:pt>
                <c:pt idx="2">
                  <c:v>8.4718036033034316</c:v>
                </c:pt>
                <c:pt idx="3">
                  <c:v>8.5456981550683313</c:v>
                </c:pt>
                <c:pt idx="4">
                  <c:v>8.5746424470298557</c:v>
                </c:pt>
                <c:pt idx="5">
                  <c:v>8.6113370902194681</c:v>
                </c:pt>
                <c:pt idx="6">
                  <c:v>8.6849154797315755</c:v>
                </c:pt>
                <c:pt idx="7">
                  <c:v>8.675021009574623</c:v>
                </c:pt>
                <c:pt idx="8">
                  <c:v>8.6683896052389375</c:v>
                </c:pt>
                <c:pt idx="9">
                  <c:v>8.7635574125397184</c:v>
                </c:pt>
                <c:pt idx="10">
                  <c:v>8.7853464615456343</c:v>
                </c:pt>
                <c:pt idx="11">
                  <c:v>8.8039336529565961</c:v>
                </c:pt>
                <c:pt idx="12">
                  <c:v>8.8348698178703806</c:v>
                </c:pt>
                <c:pt idx="13">
                  <c:v>8.8790298977194801</c:v>
                </c:pt>
                <c:pt idx="14">
                  <c:v>8.8729155513458959</c:v>
                </c:pt>
                <c:pt idx="15">
                  <c:v>8.8828867952061454</c:v>
                </c:pt>
                <c:pt idx="16">
                  <c:v>8.8774872871291031</c:v>
                </c:pt>
                <c:pt idx="17">
                  <c:v>8.9018640791544996</c:v>
                </c:pt>
                <c:pt idx="18">
                  <c:v>8.9326986720035961</c:v>
                </c:pt>
                <c:pt idx="19">
                  <c:v>8.9032795980259767</c:v>
                </c:pt>
                <c:pt idx="20">
                  <c:v>8.9119244944734675</c:v>
                </c:pt>
                <c:pt idx="21">
                  <c:v>8.9314548243823761</c:v>
                </c:pt>
                <c:pt idx="22">
                  <c:v>8.9448849672878001</c:v>
                </c:pt>
                <c:pt idx="23">
                  <c:v>8.9458636303574952</c:v>
                </c:pt>
                <c:pt idx="24">
                  <c:v>8.9717256709582234</c:v>
                </c:pt>
                <c:pt idx="25">
                  <c:v>8.9784086542228696</c:v>
                </c:pt>
                <c:pt idx="26">
                  <c:v>9.0193148493305308</c:v>
                </c:pt>
                <c:pt idx="27">
                  <c:v>9.0555680722864604</c:v>
                </c:pt>
                <c:pt idx="28">
                  <c:v>9.0988701916813408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324816"/>
        <c:axId val="382325376"/>
      </c:scatterChart>
      <c:valAx>
        <c:axId val="38232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Rev Per Gal/Lag 1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82325376"/>
        <c:crosses val="autoZero"/>
        <c:crossBetween val="midCat"/>
      </c:valAx>
      <c:valAx>
        <c:axId val="38232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Revenue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82324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Thousand Gallons Per Cap/Lag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 Revenue</c:v>
          </c:tx>
          <c:spPr>
            <a:ln w="28575">
              <a:noFill/>
            </a:ln>
          </c:spPr>
          <c:xVal>
            <c:numRef>
              <c:f>'Water&amp;Sewer'!$AF$14:$AF$42</c:f>
              <c:numCache>
                <c:formatCode>_(* #,##0.00_);_(* \(#,##0.00\);_(* "-"??_);_(@_)</c:formatCode>
                <c:ptCount val="29"/>
                <c:pt idx="0">
                  <c:v>78.061959893597503</c:v>
                </c:pt>
                <c:pt idx="1">
                  <c:v>77.877302844779749</c:v>
                </c:pt>
                <c:pt idx="2">
                  <c:v>67.419709805525969</c:v>
                </c:pt>
                <c:pt idx="3">
                  <c:v>70.568589470150982</c:v>
                </c:pt>
                <c:pt idx="4">
                  <c:v>72.393824244329579</c:v>
                </c:pt>
                <c:pt idx="5">
                  <c:v>73.930770740987555</c:v>
                </c:pt>
                <c:pt idx="6">
                  <c:v>66.50017699776609</c:v>
                </c:pt>
                <c:pt idx="7">
                  <c:v>67.790306443721377</c:v>
                </c:pt>
                <c:pt idx="8">
                  <c:v>72.425403435996216</c:v>
                </c:pt>
                <c:pt idx="9">
                  <c:v>74.055440999748825</c:v>
                </c:pt>
                <c:pt idx="10">
                  <c:v>70.06045969690399</c:v>
                </c:pt>
                <c:pt idx="11">
                  <c:v>71.146327849986875</c:v>
                </c:pt>
                <c:pt idx="12">
                  <c:v>74.764866572346349</c:v>
                </c:pt>
                <c:pt idx="13">
                  <c:v>68.345231372181971</c:v>
                </c:pt>
                <c:pt idx="14">
                  <c:v>65.980486253275572</c:v>
                </c:pt>
                <c:pt idx="15">
                  <c:v>64.923084380535144</c:v>
                </c:pt>
                <c:pt idx="16">
                  <c:v>63.036862061985808</c:v>
                </c:pt>
                <c:pt idx="17">
                  <c:v>60.942557885868588</c:v>
                </c:pt>
                <c:pt idx="18">
                  <c:v>55.993000485221977</c:v>
                </c:pt>
                <c:pt idx="19">
                  <c:v>56.159548848340265</c:v>
                </c:pt>
                <c:pt idx="20">
                  <c:v>56.316693824541261</c:v>
                </c:pt>
                <c:pt idx="21">
                  <c:v>56.150106341985754</c:v>
                </c:pt>
                <c:pt idx="22">
                  <c:v>53.684836471754217</c:v>
                </c:pt>
                <c:pt idx="23">
                  <c:v>51.3745971311861</c:v>
                </c:pt>
                <c:pt idx="24">
                  <c:v>49.631025120577632</c:v>
                </c:pt>
                <c:pt idx="25">
                  <c:v>50.218210370470942</c:v>
                </c:pt>
                <c:pt idx="26">
                  <c:v>50.563641854182421</c:v>
                </c:pt>
                <c:pt idx="27">
                  <c:v>48.675624159650106</c:v>
                </c:pt>
                <c:pt idx="28">
                  <c:v>50.53018673941321</c:v>
                </c:pt>
              </c:numCache>
            </c:numRef>
          </c:xVal>
          <c:yVal>
            <c:numRef>
              <c:f>'Water&amp;Sewer'!$AG$14:$AG$42</c:f>
              <c:numCache>
                <c:formatCode>0.000</c:formatCode>
                <c:ptCount val="29"/>
                <c:pt idx="0">
                  <c:v>8.4179013424611906</c:v>
                </c:pt>
                <c:pt idx="1">
                  <c:v>8.4225618954016177</c:v>
                </c:pt>
                <c:pt idx="2">
                  <c:v>8.5040997975013095</c:v>
                </c:pt>
                <c:pt idx="3">
                  <c:v>8.5376143506113547</c:v>
                </c:pt>
                <c:pt idx="4">
                  <c:v>8.5777321876741457</c:v>
                </c:pt>
                <c:pt idx="5">
                  <c:v>8.648933599525531</c:v>
                </c:pt>
                <c:pt idx="6">
                  <c:v>8.6412314872934832</c:v>
                </c:pt>
                <c:pt idx="7">
                  <c:v>8.6381362107904724</c:v>
                </c:pt>
                <c:pt idx="8">
                  <c:v>8.7369000261338225</c:v>
                </c:pt>
                <c:pt idx="9">
                  <c:v>8.7569221387995011</c:v>
                </c:pt>
                <c:pt idx="10">
                  <c:v>8.7755214460140643</c:v>
                </c:pt>
                <c:pt idx="11">
                  <c:v>8.8089694636989098</c:v>
                </c:pt>
                <c:pt idx="12">
                  <c:v>8.8507208667790653</c:v>
                </c:pt>
                <c:pt idx="13">
                  <c:v>8.8560310808545228</c:v>
                </c:pt>
                <c:pt idx="14">
                  <c:v>8.8683865978106233</c:v>
                </c:pt>
                <c:pt idx="15">
                  <c:v>8.8638955167207421</c:v>
                </c:pt>
                <c:pt idx="16">
                  <c:v>8.8894800113076808</c:v>
                </c:pt>
                <c:pt idx="17">
                  <c:v>8.9152943695859914</c:v>
                </c:pt>
                <c:pt idx="18">
                  <c:v>8.8907852720518417</c:v>
                </c:pt>
                <c:pt idx="19">
                  <c:v>8.9037708165824867</c:v>
                </c:pt>
                <c:pt idx="20">
                  <c:v>8.9255827670471284</c:v>
                </c:pt>
                <c:pt idx="21">
                  <c:v>8.9334400104482974</c:v>
                </c:pt>
                <c:pt idx="22">
                  <c:v>8.927550894992379</c:v>
                </c:pt>
                <c:pt idx="23">
                  <c:v>8.9468181081325078</c:v>
                </c:pt>
                <c:pt idx="24">
                  <c:v>8.9539162042248126</c:v>
                </c:pt>
                <c:pt idx="25">
                  <c:v>8.9954356650306391</c:v>
                </c:pt>
                <c:pt idx="26">
                  <c:v>9.0268899626185402</c:v>
                </c:pt>
                <c:pt idx="27">
                  <c:v>9.0799731342399816</c:v>
                </c:pt>
                <c:pt idx="28">
                  <c:v>9.1083976531543929</c:v>
                </c:pt>
              </c:numCache>
            </c:numRef>
          </c:yVal>
          <c:smooth val="0"/>
        </c:ser>
        <c:ser>
          <c:idx val="1"/>
          <c:order val="1"/>
          <c:tx>
            <c:v>Predicted Log Revenue</c:v>
          </c:tx>
          <c:spPr>
            <a:ln w="28575">
              <a:noFill/>
            </a:ln>
          </c:spPr>
          <c:xVal>
            <c:numRef>
              <c:f>'Water&amp;Sewer'!$AF$14:$AF$42</c:f>
              <c:numCache>
                <c:formatCode>_(* #,##0.00_);_(* \(#,##0.00\);_(* "-"??_);_(@_)</c:formatCode>
                <c:ptCount val="29"/>
                <c:pt idx="0">
                  <c:v>78.061959893597503</c:v>
                </c:pt>
                <c:pt idx="1">
                  <c:v>77.877302844779749</c:v>
                </c:pt>
                <c:pt idx="2">
                  <c:v>67.419709805525969</c:v>
                </c:pt>
                <c:pt idx="3">
                  <c:v>70.568589470150982</c:v>
                </c:pt>
                <c:pt idx="4">
                  <c:v>72.393824244329579</c:v>
                </c:pt>
                <c:pt idx="5">
                  <c:v>73.930770740987555</c:v>
                </c:pt>
                <c:pt idx="6">
                  <c:v>66.50017699776609</c:v>
                </c:pt>
                <c:pt idx="7">
                  <c:v>67.790306443721377</c:v>
                </c:pt>
                <c:pt idx="8">
                  <c:v>72.425403435996216</c:v>
                </c:pt>
                <c:pt idx="9">
                  <c:v>74.055440999748825</c:v>
                </c:pt>
                <c:pt idx="10">
                  <c:v>70.06045969690399</c:v>
                </c:pt>
                <c:pt idx="11">
                  <c:v>71.146327849986875</c:v>
                </c:pt>
                <c:pt idx="12">
                  <c:v>74.764866572346349</c:v>
                </c:pt>
                <c:pt idx="13">
                  <c:v>68.345231372181971</c:v>
                </c:pt>
                <c:pt idx="14">
                  <c:v>65.980486253275572</c:v>
                </c:pt>
                <c:pt idx="15">
                  <c:v>64.923084380535144</c:v>
                </c:pt>
                <c:pt idx="16">
                  <c:v>63.036862061985808</c:v>
                </c:pt>
                <c:pt idx="17">
                  <c:v>60.942557885868588</c:v>
                </c:pt>
                <c:pt idx="18">
                  <c:v>55.993000485221977</c:v>
                </c:pt>
                <c:pt idx="19">
                  <c:v>56.159548848340265</c:v>
                </c:pt>
                <c:pt idx="20">
                  <c:v>56.316693824541261</c:v>
                </c:pt>
                <c:pt idx="21">
                  <c:v>56.150106341985754</c:v>
                </c:pt>
                <c:pt idx="22">
                  <c:v>53.684836471754217</c:v>
                </c:pt>
                <c:pt idx="23">
                  <c:v>51.3745971311861</c:v>
                </c:pt>
                <c:pt idx="24">
                  <c:v>49.631025120577632</c:v>
                </c:pt>
                <c:pt idx="25">
                  <c:v>50.218210370470942</c:v>
                </c:pt>
                <c:pt idx="26">
                  <c:v>50.563641854182421</c:v>
                </c:pt>
                <c:pt idx="27">
                  <c:v>48.675624159650106</c:v>
                </c:pt>
                <c:pt idx="28">
                  <c:v>50.53018673941321</c:v>
                </c:pt>
              </c:numCache>
            </c:numRef>
          </c:xVal>
          <c:yVal>
            <c:numRef>
              <c:f>'Water&amp;Sewer'!$AK$67:$AK$95</c:f>
              <c:numCache>
                <c:formatCode>General</c:formatCode>
                <c:ptCount val="29"/>
                <c:pt idx="0">
                  <c:v>8.4135836146182292</c:v>
                </c:pt>
                <c:pt idx="1">
                  <c:v>8.4616172922249042</c:v>
                </c:pt>
                <c:pt idx="2">
                  <c:v>8.4718036033034316</c:v>
                </c:pt>
                <c:pt idx="3">
                  <c:v>8.5456981550683313</c:v>
                </c:pt>
                <c:pt idx="4">
                  <c:v>8.5746424470298557</c:v>
                </c:pt>
                <c:pt idx="5">
                  <c:v>8.6113370902194681</c:v>
                </c:pt>
                <c:pt idx="6">
                  <c:v>8.6849154797315755</c:v>
                </c:pt>
                <c:pt idx="7">
                  <c:v>8.675021009574623</c:v>
                </c:pt>
                <c:pt idx="8">
                  <c:v>8.6683896052389375</c:v>
                </c:pt>
                <c:pt idx="9">
                  <c:v>8.7635574125397184</c:v>
                </c:pt>
                <c:pt idx="10">
                  <c:v>8.7853464615456343</c:v>
                </c:pt>
                <c:pt idx="11">
                  <c:v>8.8039336529565961</c:v>
                </c:pt>
                <c:pt idx="12">
                  <c:v>8.8348698178703806</c:v>
                </c:pt>
                <c:pt idx="13">
                  <c:v>8.8790298977194801</c:v>
                </c:pt>
                <c:pt idx="14">
                  <c:v>8.8729155513458959</c:v>
                </c:pt>
                <c:pt idx="15">
                  <c:v>8.8828867952061454</c:v>
                </c:pt>
                <c:pt idx="16">
                  <c:v>8.8774872871291031</c:v>
                </c:pt>
                <c:pt idx="17">
                  <c:v>8.9018640791544996</c:v>
                </c:pt>
                <c:pt idx="18">
                  <c:v>8.9326986720035961</c:v>
                </c:pt>
                <c:pt idx="19">
                  <c:v>8.9032795980259767</c:v>
                </c:pt>
                <c:pt idx="20">
                  <c:v>8.9119244944734675</c:v>
                </c:pt>
                <c:pt idx="21">
                  <c:v>8.9314548243823761</c:v>
                </c:pt>
                <c:pt idx="22">
                  <c:v>8.9448849672878001</c:v>
                </c:pt>
                <c:pt idx="23">
                  <c:v>8.9458636303574952</c:v>
                </c:pt>
                <c:pt idx="24">
                  <c:v>8.9717256709582234</c:v>
                </c:pt>
                <c:pt idx="25">
                  <c:v>8.9784086542228696</c:v>
                </c:pt>
                <c:pt idx="26">
                  <c:v>9.0193148493305308</c:v>
                </c:pt>
                <c:pt idx="27">
                  <c:v>9.0555680722864604</c:v>
                </c:pt>
                <c:pt idx="28">
                  <c:v>9.0988701916813408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328176"/>
        <c:axId val="373529744"/>
      </c:scatterChart>
      <c:valAx>
        <c:axId val="38232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Thousand Gallons Per Cap/Lag 1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crossAx val="373529744"/>
        <c:crosses val="autoZero"/>
        <c:crossBetween val="midCat"/>
      </c:valAx>
      <c:valAx>
        <c:axId val="37352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Revenue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82328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Differenced Rev Per 1000 Gal/Lag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Lit>
              <c:formatCode>General</c:formatCode>
              <c:ptCount val="26"/>
              <c:pt idx="0">
                <c:v>7.9021060458230194E-2</c:v>
              </c:pt>
              <c:pt idx="1">
                <c:v>2.9071136586527331E-2</c:v>
              </c:pt>
              <c:pt idx="2">
                <c:v>4.5561548115705772E-2</c:v>
              </c:pt>
              <c:pt idx="3">
                <c:v>0.21349769950916966</c:v>
              </c:pt>
              <c:pt idx="4">
                <c:v>-3.5288520765938261E-2</c:v>
              </c:pt>
              <c:pt idx="5">
                <c:v>-6.2268936211013641E-2</c:v>
              </c:pt>
              <c:pt idx="6">
                <c:v>0.18416429496587336</c:v>
              </c:pt>
              <c:pt idx="7">
                <c:v>0.10634419937635849</c:v>
              </c:pt>
              <c:pt idx="8">
                <c:v>3.382552899775372E-2</c:v>
              </c:pt>
              <c:pt idx="9">
                <c:v>3.182023501023426E-2</c:v>
              </c:pt>
              <c:pt idx="10">
                <c:v>0.23628265709340637</c:v>
              </c:pt>
              <c:pt idx="11">
                <c:v>2.1447295039548092E-2</c:v>
              </c:pt>
              <c:pt idx="12">
                <c:v>5.3234378069772201E-2</c:v>
              </c:pt>
              <c:pt idx="13">
                <c:v>1.6144495681229623E-2</c:v>
              </c:pt>
              <c:pt idx="14">
                <c:v>0.13011255506202624</c:v>
              </c:pt>
              <c:pt idx="15">
                <c:v>0.23335580779585904</c:v>
              </c:pt>
              <c:pt idx="16">
                <c:v>-0.12767072326462622</c:v>
              </c:pt>
              <c:pt idx="17">
                <c:v>3.2047117798535356E-2</c:v>
              </c:pt>
              <c:pt idx="18">
                <c:v>8.6576999388645728E-2</c:v>
              </c:pt>
              <c:pt idx="19">
                <c:v>0.11881384431815853</c:v>
              </c:pt>
              <c:pt idx="20">
                <c:v>6.2155694975363218E-2</c:v>
              </c:pt>
              <c:pt idx="21">
                <c:v>0.17440083769269896</c:v>
              </c:pt>
              <c:pt idx="22">
                <c:v>1.851402131670607E-2</c:v>
              </c:pt>
              <c:pt idx="23">
                <c:v>0.21334516138694959</c:v>
              </c:pt>
              <c:pt idx="24">
                <c:v>0.27920115037597532</c:v>
              </c:pt>
              <c:pt idx="25">
                <c:v>0.22145097617534129</c:v>
              </c:pt>
            </c:numLit>
          </c:xVal>
          <c:yVal>
            <c:numRef>
              <c:f>'W&amp;SDiffNoOutlier'!$C$26:$C$51</c:f>
              <c:numCache>
                <c:formatCode>0</c:formatCode>
                <c:ptCount val="26"/>
                <c:pt idx="0">
                  <c:v>-43752002.602512449</c:v>
                </c:pt>
                <c:pt idx="1">
                  <c:v>-18561678.221647225</c:v>
                </c:pt>
                <c:pt idx="2">
                  <c:v>16137495.059641846</c:v>
                </c:pt>
                <c:pt idx="3">
                  <c:v>1583918.7547914311</c:v>
                </c:pt>
                <c:pt idx="4">
                  <c:v>-42988077.160697848</c:v>
                </c:pt>
                <c:pt idx="5">
                  <c:v>44436557.946287528</c:v>
                </c:pt>
                <c:pt idx="6">
                  <c:v>-42042388.244924456</c:v>
                </c:pt>
                <c:pt idx="7">
                  <c:v>16034335.387895279</c:v>
                </c:pt>
                <c:pt idx="8">
                  <c:v>1844851.5833018422</c:v>
                </c:pt>
                <c:pt idx="9">
                  <c:v>-3186041.3231178224</c:v>
                </c:pt>
                <c:pt idx="10">
                  <c:v>6571412.7964626551</c:v>
                </c:pt>
                <c:pt idx="11">
                  <c:v>6886557.3844087198</c:v>
                </c:pt>
                <c:pt idx="12">
                  <c:v>-36651471.236961119</c:v>
                </c:pt>
                <c:pt idx="13">
                  <c:v>26874193.677834511</c:v>
                </c:pt>
                <c:pt idx="14">
                  <c:v>18926409.460670482</c:v>
                </c:pt>
                <c:pt idx="15">
                  <c:v>-60034509.484532207</c:v>
                </c:pt>
                <c:pt idx="16">
                  <c:v>4186324.616171699</c:v>
                </c:pt>
                <c:pt idx="17">
                  <c:v>3824484.9253136143</c:v>
                </c:pt>
                <c:pt idx="18">
                  <c:v>-25370114.938097581</c:v>
                </c:pt>
                <c:pt idx="19">
                  <c:v>-35531990.211774774</c:v>
                </c:pt>
                <c:pt idx="20">
                  <c:v>19463277.616662983</c:v>
                </c:pt>
                <c:pt idx="21">
                  <c:v>-22115999.796164379</c:v>
                </c:pt>
                <c:pt idx="22">
                  <c:v>50488413.916199535</c:v>
                </c:pt>
                <c:pt idx="23">
                  <c:v>14650074.643040389</c:v>
                </c:pt>
                <c:pt idx="24">
                  <c:v>91020974.162541658</c:v>
                </c:pt>
                <c:pt idx="25">
                  <c:v>7304991.2892057449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531984"/>
        <c:axId val="373532544"/>
      </c:scatterChart>
      <c:valAx>
        <c:axId val="37353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Rev Per 1000 Gal/Lag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3532544"/>
        <c:crosses val="autoZero"/>
        <c:crossBetween val="midCat"/>
      </c:valAx>
      <c:valAx>
        <c:axId val="37353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73531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Differenced Thousand Gallons Per Cap/Lag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Lit>
              <c:formatCode>General</c:formatCode>
              <c:ptCount val="26"/>
              <c:pt idx="0">
                <c:v>3.1488796646250119</c:v>
              </c:pt>
              <c:pt idx="1">
                <c:v>1.8252347741785926</c:v>
              </c:pt>
              <c:pt idx="2">
                <c:v>1.5369464966579836</c:v>
              </c:pt>
              <c:pt idx="3">
                <c:v>-7.4305937432214701</c:v>
              </c:pt>
              <c:pt idx="4">
                <c:v>1.2901294459552883</c:v>
              </c:pt>
              <c:pt idx="5">
                <c:v>4.6350969922748337</c:v>
              </c:pt>
              <c:pt idx="6">
                <c:v>1.6300375637526159</c:v>
              </c:pt>
              <c:pt idx="7">
                <c:v>-3.9949813028448409</c:v>
              </c:pt>
              <c:pt idx="8">
                <c:v>1.0858681530828909</c:v>
              </c:pt>
              <c:pt idx="9">
                <c:v>3.6185387223594736</c:v>
              </c:pt>
              <c:pt idx="10">
                <c:v>-6.4196352001643824</c:v>
              </c:pt>
              <c:pt idx="11">
                <c:v>-2.3647451189064013</c:v>
              </c:pt>
              <c:pt idx="12">
                <c:v>-1.0574018727404182</c:v>
              </c:pt>
              <c:pt idx="13">
                <c:v>-1.8862223185493421</c:v>
              </c:pt>
              <c:pt idx="14">
                <c:v>-2.0943041761172134</c:v>
              </c:pt>
              <c:pt idx="15">
                <c:v>-4.9495574006466123</c:v>
              </c:pt>
              <c:pt idx="16">
                <c:v>0.16654836311828694</c:v>
              </c:pt>
              <c:pt idx="17">
                <c:v>0.15714497620099427</c:v>
              </c:pt>
              <c:pt idx="18">
                <c:v>-0.16658748255550745</c:v>
              </c:pt>
              <c:pt idx="19">
                <c:v>-2.4652698702315394</c:v>
              </c:pt>
              <c:pt idx="20">
                <c:v>-2.3102393405681143</c:v>
              </c:pt>
              <c:pt idx="21">
                <c:v>-1.74357201060847</c:v>
              </c:pt>
              <c:pt idx="22">
                <c:v>0.58718524989331489</c:v>
              </c:pt>
              <c:pt idx="23">
                <c:v>0.3454314837114798</c:v>
              </c:pt>
              <c:pt idx="24">
                <c:v>-1.8880176945323184</c:v>
              </c:pt>
              <c:pt idx="25">
                <c:v>1.8545625797631073</c:v>
              </c:pt>
            </c:numLit>
          </c:xVal>
          <c:yVal>
            <c:numRef>
              <c:f>'W&amp;SDiffNoOutlier'!$C$26:$C$51</c:f>
              <c:numCache>
                <c:formatCode>0</c:formatCode>
                <c:ptCount val="26"/>
                <c:pt idx="0">
                  <c:v>-43752002.602512449</c:v>
                </c:pt>
                <c:pt idx="1">
                  <c:v>-18561678.221647225</c:v>
                </c:pt>
                <c:pt idx="2">
                  <c:v>16137495.059641846</c:v>
                </c:pt>
                <c:pt idx="3">
                  <c:v>1583918.7547914311</c:v>
                </c:pt>
                <c:pt idx="4">
                  <c:v>-42988077.160697848</c:v>
                </c:pt>
                <c:pt idx="5">
                  <c:v>44436557.946287528</c:v>
                </c:pt>
                <c:pt idx="6">
                  <c:v>-42042388.244924456</c:v>
                </c:pt>
                <c:pt idx="7">
                  <c:v>16034335.387895279</c:v>
                </c:pt>
                <c:pt idx="8">
                  <c:v>1844851.5833018422</c:v>
                </c:pt>
                <c:pt idx="9">
                  <c:v>-3186041.3231178224</c:v>
                </c:pt>
                <c:pt idx="10">
                  <c:v>6571412.7964626551</c:v>
                </c:pt>
                <c:pt idx="11">
                  <c:v>6886557.3844087198</c:v>
                </c:pt>
                <c:pt idx="12">
                  <c:v>-36651471.236961119</c:v>
                </c:pt>
                <c:pt idx="13">
                  <c:v>26874193.677834511</c:v>
                </c:pt>
                <c:pt idx="14">
                  <c:v>18926409.460670482</c:v>
                </c:pt>
                <c:pt idx="15">
                  <c:v>-60034509.484532207</c:v>
                </c:pt>
                <c:pt idx="16">
                  <c:v>4186324.616171699</c:v>
                </c:pt>
                <c:pt idx="17">
                  <c:v>3824484.9253136143</c:v>
                </c:pt>
                <c:pt idx="18">
                  <c:v>-25370114.938097581</c:v>
                </c:pt>
                <c:pt idx="19">
                  <c:v>-35531990.211774774</c:v>
                </c:pt>
                <c:pt idx="20">
                  <c:v>19463277.616662983</c:v>
                </c:pt>
                <c:pt idx="21">
                  <c:v>-22115999.796164379</c:v>
                </c:pt>
                <c:pt idx="22">
                  <c:v>50488413.916199535</c:v>
                </c:pt>
                <c:pt idx="23">
                  <c:v>14650074.643040389</c:v>
                </c:pt>
                <c:pt idx="24">
                  <c:v>91020974.162541658</c:v>
                </c:pt>
                <c:pt idx="25">
                  <c:v>7304991.2892057449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033184"/>
        <c:axId val="456033744"/>
      </c:scatterChart>
      <c:valAx>
        <c:axId val="45603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Differenced Thousand Gallons Per Cap/Lag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033744"/>
        <c:crosses val="autoZero"/>
        <c:crossBetween val="midCat"/>
      </c:valAx>
      <c:valAx>
        <c:axId val="45603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456033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28575</xdr:colOff>
      <xdr:row>96</xdr:row>
      <xdr:rowOff>123825</xdr:rowOff>
    </xdr:from>
    <xdr:to>
      <xdr:col>40</xdr:col>
      <xdr:colOff>371474</xdr:colOff>
      <xdr:row>116</xdr:row>
      <xdr:rowOff>104776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380999</xdr:colOff>
      <xdr:row>96</xdr:row>
      <xdr:rowOff>104775</xdr:rowOff>
    </xdr:from>
    <xdr:to>
      <xdr:col>46</xdr:col>
      <xdr:colOff>514349</xdr:colOff>
      <xdr:row>116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47624</xdr:colOff>
      <xdr:row>116</xdr:row>
      <xdr:rowOff>114300</xdr:rowOff>
    </xdr:from>
    <xdr:to>
      <xdr:col>40</xdr:col>
      <xdr:colOff>380999</xdr:colOff>
      <xdr:row>139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390524</xdr:colOff>
      <xdr:row>116</xdr:row>
      <xdr:rowOff>123824</xdr:rowOff>
    </xdr:from>
    <xdr:to>
      <xdr:col>46</xdr:col>
      <xdr:colOff>542924</xdr:colOff>
      <xdr:row>139</xdr:row>
      <xdr:rowOff>95249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5</xdr:row>
      <xdr:rowOff>38101</xdr:rowOff>
    </xdr:from>
    <xdr:to>
      <xdr:col>18</xdr:col>
      <xdr:colOff>19050</xdr:colOff>
      <xdr:row>21</xdr:row>
      <xdr:rowOff>85726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9525</xdr:colOff>
      <xdr:row>5</xdr:row>
      <xdr:rowOff>9525</xdr:rowOff>
    </xdr:from>
    <xdr:to>
      <xdr:col>26</xdr:col>
      <xdr:colOff>9525</xdr:colOff>
      <xdr:row>21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19050</xdr:colOff>
      <xdr:row>21</xdr:row>
      <xdr:rowOff>104775</xdr:rowOff>
    </xdr:from>
    <xdr:to>
      <xdr:col>18</xdr:col>
      <xdr:colOff>38100</xdr:colOff>
      <xdr:row>36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9524</xdr:colOff>
      <xdr:row>21</xdr:row>
      <xdr:rowOff>95250</xdr:rowOff>
    </xdr:from>
    <xdr:to>
      <xdr:col>25</xdr:col>
      <xdr:colOff>609599</xdr:colOff>
      <xdr:row>36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4</xdr:row>
      <xdr:rowOff>9525</xdr:rowOff>
    </xdr:from>
    <xdr:to>
      <xdr:col>19</xdr:col>
      <xdr:colOff>9525</xdr:colOff>
      <xdr:row>23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9525</xdr:colOff>
      <xdr:row>4</xdr:row>
      <xdr:rowOff>28575</xdr:rowOff>
    </xdr:from>
    <xdr:to>
      <xdr:col>28</xdr:col>
      <xdr:colOff>19050</xdr:colOff>
      <xdr:row>23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9525</xdr:colOff>
      <xdr:row>23</xdr:row>
      <xdr:rowOff>1</xdr:rowOff>
    </xdr:from>
    <xdr:to>
      <xdr:col>19</xdr:col>
      <xdr:colOff>9525</xdr:colOff>
      <xdr:row>39</xdr:row>
      <xdr:rowOff>95251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23</xdr:row>
      <xdr:rowOff>9525</xdr:rowOff>
    </xdr:from>
    <xdr:to>
      <xdr:col>28</xdr:col>
      <xdr:colOff>19050</xdr:colOff>
      <xdr:row>39</xdr:row>
      <xdr:rowOff>85725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D5" sqref="D5:D17"/>
    </sheetView>
  </sheetViews>
  <sheetFormatPr defaultRowHeight="15" x14ac:dyDescent="0.25"/>
  <cols>
    <col min="4" max="4" width="11.7109375" bestFit="1" customWidth="1"/>
  </cols>
  <sheetData>
    <row r="1" spans="1:4" x14ac:dyDescent="0.25">
      <c r="A1" t="s">
        <v>103</v>
      </c>
    </row>
    <row r="3" spans="1:4" x14ac:dyDescent="0.25">
      <c r="A3" t="s">
        <v>105</v>
      </c>
    </row>
    <row r="5" spans="1:4" ht="30" x14ac:dyDescent="0.25">
      <c r="C5" s="143" t="s">
        <v>104</v>
      </c>
      <c r="D5" s="143"/>
    </row>
    <row r="6" spans="1:4" x14ac:dyDescent="0.25">
      <c r="C6" s="144">
        <v>30.3</v>
      </c>
    </row>
    <row r="7" spans="1:4" x14ac:dyDescent="0.25">
      <c r="C7" s="144">
        <v>30.4</v>
      </c>
    </row>
    <row r="8" spans="1:4" x14ac:dyDescent="0.25">
      <c r="C8" s="145">
        <v>30.21</v>
      </c>
    </row>
    <row r="9" spans="1:4" x14ac:dyDescent="0.25">
      <c r="C9" s="145">
        <v>30.27</v>
      </c>
    </row>
    <row r="10" spans="1:4" x14ac:dyDescent="0.25">
      <c r="C10" s="145">
        <v>30.28</v>
      </c>
    </row>
    <row r="11" spans="1:4" x14ac:dyDescent="0.25">
      <c r="C11" s="145">
        <v>30.29</v>
      </c>
    </row>
    <row r="12" spans="1:4" x14ac:dyDescent="0.25">
      <c r="C12" s="145">
        <v>30.35</v>
      </c>
    </row>
    <row r="13" spans="1:4" x14ac:dyDescent="0.25">
      <c r="C13" s="145">
        <v>30.37</v>
      </c>
    </row>
    <row r="14" spans="1:4" x14ac:dyDescent="0.25">
      <c r="C14" s="145">
        <v>30.38</v>
      </c>
    </row>
    <row r="15" spans="1:4" x14ac:dyDescent="0.25">
      <c r="C15" s="145">
        <v>30.39</v>
      </c>
    </row>
    <row r="16" spans="1:4" x14ac:dyDescent="0.25">
      <c r="C16" s="145">
        <v>30.4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32" sqref="A32"/>
    </sheetView>
  </sheetViews>
  <sheetFormatPr defaultRowHeight="15" x14ac:dyDescent="0.25"/>
  <cols>
    <col min="1" max="1" width="5" bestFit="1" customWidth="1"/>
    <col min="2" max="2" width="7" bestFit="1" customWidth="1"/>
    <col min="3" max="3" width="9.7109375" bestFit="1" customWidth="1"/>
    <col min="5" max="5" width="13.5703125" customWidth="1"/>
    <col min="6" max="6" width="16.5703125" customWidth="1"/>
    <col min="7" max="14" width="10.28515625" bestFit="1" customWidth="1"/>
  </cols>
  <sheetData>
    <row r="1" spans="1:23" s="1" customFormat="1" ht="45.75" thickBot="1" x14ac:dyDescent="0.3">
      <c r="A1" s="1" t="s">
        <v>0</v>
      </c>
      <c r="B1" s="1" t="s">
        <v>1</v>
      </c>
      <c r="C1" s="1" t="s">
        <v>1</v>
      </c>
      <c r="D1" s="1" t="s">
        <v>2</v>
      </c>
      <c r="E1" s="1" t="s">
        <v>33</v>
      </c>
      <c r="F1" s="2" t="str">
        <f ca="1">INDIRECT(U3&amp;V3)</f>
        <v>Property Tax</v>
      </c>
      <c r="G1"/>
      <c r="H1"/>
      <c r="I1"/>
      <c r="J1"/>
      <c r="K1"/>
      <c r="L1"/>
      <c r="M1"/>
      <c r="O1" s="149" t="s">
        <v>3</v>
      </c>
      <c r="P1" s="149"/>
      <c r="Q1" s="149"/>
      <c r="R1" s="149"/>
      <c r="S1" s="149"/>
      <c r="T1" s="149"/>
      <c r="U1" s="149"/>
      <c r="V1" s="149"/>
      <c r="W1" s="149"/>
    </row>
    <row r="2" spans="1:23" ht="15.75" thickBot="1" x14ac:dyDescent="0.3">
      <c r="A2">
        <v>2006</v>
      </c>
      <c r="B2">
        <v>7</v>
      </c>
      <c r="C2" s="11">
        <v>38899</v>
      </c>
      <c r="D2" s="4">
        <v>2400</v>
      </c>
      <c r="E2">
        <f>Figure30.4!J5</f>
        <v>936.5</v>
      </c>
      <c r="F2" s="146" t="s">
        <v>25</v>
      </c>
      <c r="G2" s="147"/>
      <c r="H2" s="147"/>
      <c r="I2" s="147"/>
      <c r="J2" s="147"/>
      <c r="K2" s="147"/>
      <c r="L2" s="147"/>
      <c r="M2" s="148"/>
    </row>
    <row r="3" spans="1:23" x14ac:dyDescent="0.25">
      <c r="A3">
        <v>2006</v>
      </c>
      <c r="B3">
        <v>8</v>
      </c>
      <c r="C3" s="11">
        <v>38930</v>
      </c>
      <c r="D3" s="4">
        <v>103</v>
      </c>
      <c r="E3">
        <f>Figure30.4!J6</f>
        <v>1217.5</v>
      </c>
      <c r="F3" s="12"/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4" t="s">
        <v>32</v>
      </c>
      <c r="U3" s="1" t="s">
        <v>12</v>
      </c>
      <c r="V3" s="1">
        <v>1</v>
      </c>
      <c r="W3" s="1"/>
    </row>
    <row r="4" spans="1:23" x14ac:dyDescent="0.25">
      <c r="A4">
        <v>2006</v>
      </c>
      <c r="B4">
        <v>9</v>
      </c>
      <c r="C4" s="11">
        <v>38961</v>
      </c>
      <c r="D4" s="4">
        <v>313</v>
      </c>
      <c r="E4">
        <f>Figure30.4!J7</f>
        <v>562.4</v>
      </c>
      <c r="F4" s="12" t="s">
        <v>16</v>
      </c>
      <c r="G4" s="13">
        <f t="shared" ref="G4:G13" ca="1" si="0">INDIRECT($U$3&amp;P4)</f>
        <v>2400</v>
      </c>
      <c r="H4" s="13">
        <f t="shared" ref="H4:H13" ca="1" si="1">INDIRECT($U$3&amp;Q4)</f>
        <v>3416</v>
      </c>
      <c r="I4" s="13">
        <f t="shared" ref="I4:I13" ca="1" si="2">INDIRECT($U$3&amp;R4)</f>
        <v>3835</v>
      </c>
      <c r="J4" s="13">
        <f t="shared" ref="J4:J13" ca="1" si="3">INDIRECT($U$3&amp;S4)</f>
        <v>2754</v>
      </c>
      <c r="K4" s="13">
        <f t="shared" ref="K4:K13" ca="1" si="4">INDIRECT($U$3&amp;T4)</f>
        <v>3122</v>
      </c>
      <c r="L4" s="13">
        <f t="shared" ref="L4:L13" ca="1" si="5">INDIRECT($U$3&amp;U4)</f>
        <v>3455</v>
      </c>
      <c r="M4" s="14">
        <f t="shared" ref="M4:M13" ca="1" si="6">INDIRECT($U$3&amp;V4)</f>
        <v>3091</v>
      </c>
      <c r="O4" s="3">
        <v>1</v>
      </c>
      <c r="P4">
        <v>2</v>
      </c>
      <c r="Q4">
        <f t="shared" ref="Q4:W4" si="7">P15+1</f>
        <v>14</v>
      </c>
      <c r="R4">
        <f t="shared" si="7"/>
        <v>26</v>
      </c>
      <c r="S4">
        <f t="shared" si="7"/>
        <v>38</v>
      </c>
      <c r="T4">
        <f t="shared" si="7"/>
        <v>50</v>
      </c>
      <c r="U4">
        <f t="shared" si="7"/>
        <v>62</v>
      </c>
      <c r="V4">
        <f t="shared" si="7"/>
        <v>74</v>
      </c>
      <c r="W4">
        <f t="shared" si="7"/>
        <v>86</v>
      </c>
    </row>
    <row r="5" spans="1:23" x14ac:dyDescent="0.25">
      <c r="A5">
        <v>2006</v>
      </c>
      <c r="B5">
        <v>10</v>
      </c>
      <c r="C5" s="11">
        <v>38991</v>
      </c>
      <c r="D5" s="4">
        <v>323</v>
      </c>
      <c r="E5">
        <f>Figure30.4!J8</f>
        <v>874.8</v>
      </c>
      <c r="F5" s="12" t="s">
        <v>17</v>
      </c>
      <c r="G5" s="13">
        <f t="shared" ca="1" si="0"/>
        <v>103</v>
      </c>
      <c r="H5" s="13">
        <f t="shared" ca="1" si="1"/>
        <v>10</v>
      </c>
      <c r="I5" s="13">
        <f t="shared" ca="1" si="2"/>
        <v>133</v>
      </c>
      <c r="J5" s="13">
        <f t="shared" ca="1" si="3"/>
        <v>37</v>
      </c>
      <c r="K5" s="13">
        <f t="shared" ca="1" si="4"/>
        <v>110</v>
      </c>
      <c r="L5" s="13">
        <f t="shared" ca="1" si="5"/>
        <v>127</v>
      </c>
      <c r="M5" s="14">
        <f t="shared" ca="1" si="6"/>
        <v>198</v>
      </c>
      <c r="O5" s="3">
        <v>2</v>
      </c>
      <c r="P5">
        <f t="shared" ref="P5:W12" si="8">P4+1</f>
        <v>3</v>
      </c>
      <c r="Q5">
        <f t="shared" si="8"/>
        <v>15</v>
      </c>
      <c r="R5">
        <f t="shared" si="8"/>
        <v>27</v>
      </c>
      <c r="S5">
        <f t="shared" si="8"/>
        <v>39</v>
      </c>
      <c r="T5">
        <f t="shared" si="8"/>
        <v>51</v>
      </c>
      <c r="U5">
        <f t="shared" si="8"/>
        <v>63</v>
      </c>
      <c r="V5">
        <f t="shared" si="8"/>
        <v>75</v>
      </c>
      <c r="W5">
        <f t="shared" si="8"/>
        <v>87</v>
      </c>
    </row>
    <row r="6" spans="1:23" x14ac:dyDescent="0.25">
      <c r="A6">
        <v>2006</v>
      </c>
      <c r="B6">
        <v>11</v>
      </c>
      <c r="C6" s="11">
        <v>39022</v>
      </c>
      <c r="D6" s="4">
        <v>34</v>
      </c>
      <c r="E6">
        <f>Figure30.4!J9</f>
        <v>565.20000000000005</v>
      </c>
      <c r="F6" s="12" t="s">
        <v>18</v>
      </c>
      <c r="G6" s="13">
        <f t="shared" ca="1" si="0"/>
        <v>313</v>
      </c>
      <c r="H6" s="13">
        <f t="shared" ca="1" si="1"/>
        <v>356</v>
      </c>
      <c r="I6" s="13">
        <f t="shared" ca="1" si="2"/>
        <v>642</v>
      </c>
      <c r="J6" s="13">
        <f t="shared" ca="1" si="3"/>
        <v>648</v>
      </c>
      <c r="K6" s="13">
        <f t="shared" ca="1" si="4"/>
        <v>980</v>
      </c>
      <c r="L6" s="13">
        <f t="shared" ca="1" si="5"/>
        <v>1024</v>
      </c>
      <c r="M6" s="14">
        <f t="shared" ca="1" si="6"/>
        <v>790</v>
      </c>
      <c r="O6" s="3">
        <v>3</v>
      </c>
      <c r="P6">
        <f t="shared" si="8"/>
        <v>4</v>
      </c>
      <c r="Q6">
        <f t="shared" si="8"/>
        <v>16</v>
      </c>
      <c r="R6">
        <f t="shared" si="8"/>
        <v>28</v>
      </c>
      <c r="S6">
        <f t="shared" si="8"/>
        <v>40</v>
      </c>
      <c r="T6">
        <f t="shared" si="8"/>
        <v>52</v>
      </c>
      <c r="U6">
        <f t="shared" si="8"/>
        <v>64</v>
      </c>
      <c r="V6">
        <f t="shared" si="8"/>
        <v>76</v>
      </c>
      <c r="W6">
        <f t="shared" si="8"/>
        <v>88</v>
      </c>
    </row>
    <row r="7" spans="1:23" x14ac:dyDescent="0.25">
      <c r="A7">
        <v>2006</v>
      </c>
      <c r="B7">
        <v>12</v>
      </c>
      <c r="C7" s="11">
        <v>39052</v>
      </c>
      <c r="D7" s="4">
        <v>3207</v>
      </c>
      <c r="E7">
        <f>Figure30.4!J10</f>
        <v>1257.9000000000001</v>
      </c>
      <c r="F7" s="12" t="s">
        <v>19</v>
      </c>
      <c r="G7" s="13">
        <f t="shared" ca="1" si="0"/>
        <v>323</v>
      </c>
      <c r="H7" s="13">
        <f t="shared" ca="1" si="1"/>
        <v>278</v>
      </c>
      <c r="I7" s="13">
        <f t="shared" ca="1" si="2"/>
        <v>248</v>
      </c>
      <c r="J7" s="13">
        <f t="shared" ca="1" si="3"/>
        <v>702</v>
      </c>
      <c r="K7" s="13">
        <f t="shared" ca="1" si="4"/>
        <v>413</v>
      </c>
      <c r="L7" s="13">
        <f t="shared" ca="1" si="5"/>
        <v>532</v>
      </c>
      <c r="M7" s="14">
        <f t="shared" ca="1" si="6"/>
        <v>784</v>
      </c>
      <c r="O7" s="3">
        <v>4</v>
      </c>
      <c r="P7">
        <f t="shared" si="8"/>
        <v>5</v>
      </c>
      <c r="Q7">
        <f t="shared" si="8"/>
        <v>17</v>
      </c>
      <c r="R7">
        <f t="shared" si="8"/>
        <v>29</v>
      </c>
      <c r="S7">
        <f t="shared" si="8"/>
        <v>41</v>
      </c>
      <c r="T7">
        <f t="shared" si="8"/>
        <v>53</v>
      </c>
      <c r="U7">
        <f t="shared" si="8"/>
        <v>65</v>
      </c>
      <c r="V7">
        <f t="shared" si="8"/>
        <v>77</v>
      </c>
      <c r="W7">
        <f t="shared" si="8"/>
        <v>89</v>
      </c>
    </row>
    <row r="8" spans="1:23" x14ac:dyDescent="0.25">
      <c r="A8">
        <v>2006</v>
      </c>
      <c r="B8">
        <v>1</v>
      </c>
      <c r="C8" s="11">
        <v>38718</v>
      </c>
      <c r="D8" s="4">
        <v>1985</v>
      </c>
      <c r="E8">
        <f>Figure30.4!J11</f>
        <v>1077.4000000000001</v>
      </c>
      <c r="F8" s="12" t="s">
        <v>20</v>
      </c>
      <c r="G8" s="13">
        <f t="shared" ca="1" si="0"/>
        <v>34</v>
      </c>
      <c r="H8" s="13">
        <f t="shared" ca="1" si="1"/>
        <v>50</v>
      </c>
      <c r="I8" s="13">
        <f t="shared" ca="1" si="2"/>
        <v>6</v>
      </c>
      <c r="J8" s="13">
        <f t="shared" ca="1" si="3"/>
        <v>67</v>
      </c>
      <c r="K8" s="13">
        <f t="shared" ca="1" si="4"/>
        <v>57</v>
      </c>
      <c r="L8" s="13">
        <f t="shared" ca="1" si="5"/>
        <v>162</v>
      </c>
      <c r="M8" s="14">
        <f t="shared" ca="1" si="6"/>
        <v>78</v>
      </c>
      <c r="O8" s="3">
        <v>5</v>
      </c>
      <c r="P8">
        <f t="shared" si="8"/>
        <v>6</v>
      </c>
      <c r="Q8">
        <f t="shared" si="8"/>
        <v>18</v>
      </c>
      <c r="R8">
        <f t="shared" si="8"/>
        <v>30</v>
      </c>
      <c r="S8">
        <f t="shared" si="8"/>
        <v>42</v>
      </c>
      <c r="T8">
        <f t="shared" si="8"/>
        <v>54</v>
      </c>
      <c r="U8">
        <f t="shared" si="8"/>
        <v>66</v>
      </c>
      <c r="V8">
        <f t="shared" si="8"/>
        <v>78</v>
      </c>
      <c r="W8">
        <f t="shared" si="8"/>
        <v>90</v>
      </c>
    </row>
    <row r="9" spans="1:23" x14ac:dyDescent="0.25">
      <c r="A9">
        <v>2006</v>
      </c>
      <c r="B9">
        <v>2</v>
      </c>
      <c r="C9" s="11">
        <v>38749</v>
      </c>
      <c r="D9" s="4">
        <v>56</v>
      </c>
      <c r="E9">
        <f>Figure30.4!J12</f>
        <v>678.8</v>
      </c>
      <c r="F9" s="12" t="s">
        <v>21</v>
      </c>
      <c r="G9" s="13">
        <f t="shared" ca="1" si="0"/>
        <v>3207</v>
      </c>
      <c r="H9" s="13">
        <f t="shared" ca="1" si="1"/>
        <v>3256</v>
      </c>
      <c r="I9" s="13">
        <f t="shared" ca="1" si="2"/>
        <v>1492</v>
      </c>
      <c r="J9" s="13">
        <f t="shared" ca="1" si="3"/>
        <v>3826</v>
      </c>
      <c r="K9" s="13">
        <f t="shared" ca="1" si="4"/>
        <v>3842</v>
      </c>
      <c r="L9" s="13">
        <f t="shared" ca="1" si="5"/>
        <v>4391</v>
      </c>
      <c r="M9" s="14">
        <f t="shared" ca="1" si="6"/>
        <v>4124</v>
      </c>
      <c r="O9" s="3">
        <v>6</v>
      </c>
      <c r="P9">
        <f t="shared" si="8"/>
        <v>7</v>
      </c>
      <c r="Q9">
        <f t="shared" si="8"/>
        <v>19</v>
      </c>
      <c r="R9">
        <f t="shared" si="8"/>
        <v>31</v>
      </c>
      <c r="S9">
        <f t="shared" si="8"/>
        <v>43</v>
      </c>
      <c r="T9">
        <f t="shared" si="8"/>
        <v>55</v>
      </c>
      <c r="U9">
        <f t="shared" si="8"/>
        <v>67</v>
      </c>
      <c r="V9">
        <f t="shared" si="8"/>
        <v>79</v>
      </c>
      <c r="W9">
        <f t="shared" si="8"/>
        <v>91</v>
      </c>
    </row>
    <row r="10" spans="1:23" x14ac:dyDescent="0.25">
      <c r="A10">
        <v>2006</v>
      </c>
      <c r="B10">
        <v>3</v>
      </c>
      <c r="C10" s="11">
        <v>38777</v>
      </c>
      <c r="D10" s="4">
        <v>554</v>
      </c>
      <c r="E10">
        <f>Figure30.4!J13</f>
        <v>893.9</v>
      </c>
      <c r="F10" s="12" t="s">
        <v>22</v>
      </c>
      <c r="G10" s="13">
        <f t="shared" ca="1" si="0"/>
        <v>1985</v>
      </c>
      <c r="H10" s="13">
        <f t="shared" ca="1" si="1"/>
        <v>2044</v>
      </c>
      <c r="I10" s="13">
        <f t="shared" ca="1" si="2"/>
        <v>3602</v>
      </c>
      <c r="J10" s="13">
        <f t="shared" ca="1" si="3"/>
        <v>1993</v>
      </c>
      <c r="K10" s="13">
        <f t="shared" ca="1" si="4"/>
        <v>2304</v>
      </c>
      <c r="L10" s="13">
        <f t="shared" ca="1" si="5"/>
        <v>2021</v>
      </c>
      <c r="M10" s="14">
        <f t="shared" ca="1" si="6"/>
        <v>2647</v>
      </c>
      <c r="O10" s="3">
        <v>7</v>
      </c>
      <c r="P10">
        <f t="shared" si="8"/>
        <v>8</v>
      </c>
      <c r="Q10">
        <f t="shared" si="8"/>
        <v>20</v>
      </c>
      <c r="R10">
        <f t="shared" si="8"/>
        <v>32</v>
      </c>
      <c r="S10">
        <f t="shared" si="8"/>
        <v>44</v>
      </c>
      <c r="T10">
        <f t="shared" si="8"/>
        <v>56</v>
      </c>
      <c r="U10">
        <f t="shared" si="8"/>
        <v>68</v>
      </c>
      <c r="V10">
        <f t="shared" si="8"/>
        <v>80</v>
      </c>
      <c r="W10">
        <f t="shared" si="8"/>
        <v>92</v>
      </c>
    </row>
    <row r="11" spans="1:23" x14ac:dyDescent="0.25">
      <c r="A11">
        <v>2007</v>
      </c>
      <c r="B11">
        <v>4</v>
      </c>
      <c r="C11" s="11">
        <v>39173</v>
      </c>
      <c r="D11" s="4">
        <v>308</v>
      </c>
      <c r="E11">
        <f>Figure30.4!J14</f>
        <v>1131.2</v>
      </c>
      <c r="F11" s="12" t="s">
        <v>23</v>
      </c>
      <c r="G11" s="13">
        <f t="shared" ca="1" si="0"/>
        <v>56</v>
      </c>
      <c r="H11" s="13">
        <f t="shared" ca="1" si="1"/>
        <v>57</v>
      </c>
      <c r="I11" s="13">
        <f t="shared" ca="1" si="2"/>
        <v>81</v>
      </c>
      <c r="J11" s="13">
        <f t="shared" ca="1" si="3"/>
        <v>174</v>
      </c>
      <c r="K11" s="13">
        <f t="shared" ca="1" si="4"/>
        <v>99</v>
      </c>
      <c r="L11" s="13">
        <f t="shared" ca="1" si="5"/>
        <v>106</v>
      </c>
      <c r="M11" s="14">
        <f t="shared" ca="1" si="6"/>
        <v>86</v>
      </c>
      <c r="O11" s="3">
        <v>8</v>
      </c>
      <c r="P11">
        <f t="shared" si="8"/>
        <v>9</v>
      </c>
      <c r="Q11">
        <f t="shared" si="8"/>
        <v>21</v>
      </c>
      <c r="R11">
        <f t="shared" si="8"/>
        <v>33</v>
      </c>
      <c r="S11">
        <f t="shared" si="8"/>
        <v>45</v>
      </c>
      <c r="T11">
        <f t="shared" si="8"/>
        <v>57</v>
      </c>
      <c r="U11">
        <f t="shared" si="8"/>
        <v>69</v>
      </c>
      <c r="V11">
        <f t="shared" si="8"/>
        <v>81</v>
      </c>
      <c r="W11">
        <f t="shared" si="8"/>
        <v>93</v>
      </c>
    </row>
    <row r="12" spans="1:23" x14ac:dyDescent="0.25">
      <c r="A12">
        <v>2007</v>
      </c>
      <c r="B12">
        <v>5</v>
      </c>
      <c r="C12" s="11">
        <v>39203</v>
      </c>
      <c r="D12" s="4">
        <v>26</v>
      </c>
      <c r="E12">
        <f>Figure30.4!J15</f>
        <v>675.6</v>
      </c>
      <c r="F12" s="12" t="s">
        <v>24</v>
      </c>
      <c r="G12" s="13">
        <f t="shared" ca="1" si="0"/>
        <v>554</v>
      </c>
      <c r="H12" s="13">
        <f t="shared" ca="1" si="1"/>
        <v>604</v>
      </c>
      <c r="I12" s="13">
        <f t="shared" ca="1" si="2"/>
        <v>826</v>
      </c>
      <c r="J12" s="13">
        <f t="shared" ca="1" si="3"/>
        <v>884</v>
      </c>
      <c r="K12" s="13">
        <f t="shared" ca="1" si="4"/>
        <v>938</v>
      </c>
      <c r="L12" s="13">
        <f t="shared" ca="1" si="5"/>
        <v>980</v>
      </c>
      <c r="M12" s="14">
        <f t="shared" ca="1" si="6"/>
        <v>972</v>
      </c>
      <c r="O12" s="3">
        <v>9</v>
      </c>
      <c r="P12">
        <f t="shared" si="8"/>
        <v>10</v>
      </c>
      <c r="Q12">
        <f t="shared" si="8"/>
        <v>22</v>
      </c>
      <c r="R12">
        <f t="shared" si="8"/>
        <v>34</v>
      </c>
      <c r="S12">
        <f t="shared" si="8"/>
        <v>46</v>
      </c>
      <c r="T12">
        <f t="shared" si="8"/>
        <v>58</v>
      </c>
      <c r="U12">
        <f t="shared" si="8"/>
        <v>70</v>
      </c>
      <c r="V12">
        <f t="shared" si="8"/>
        <v>82</v>
      </c>
      <c r="W12">
        <f t="shared" si="8"/>
        <v>94</v>
      </c>
    </row>
    <row r="13" spans="1:23" x14ac:dyDescent="0.25">
      <c r="A13">
        <v>2007</v>
      </c>
      <c r="B13">
        <v>6</v>
      </c>
      <c r="C13" s="11">
        <v>39234</v>
      </c>
      <c r="D13" s="4">
        <v>2609</v>
      </c>
      <c r="E13">
        <f>Figure30.4!J16</f>
        <v>880.9</v>
      </c>
      <c r="F13" s="12" t="s">
        <v>13</v>
      </c>
      <c r="G13" s="13">
        <f t="shared" ca="1" si="0"/>
        <v>308</v>
      </c>
      <c r="H13" s="13">
        <f t="shared" ca="1" si="1"/>
        <v>236</v>
      </c>
      <c r="I13" s="13">
        <f t="shared" ca="1" si="2"/>
        <v>339</v>
      </c>
      <c r="J13" s="13">
        <f t="shared" ca="1" si="3"/>
        <v>376</v>
      </c>
      <c r="K13" s="13">
        <f t="shared" ca="1" si="4"/>
        <v>372</v>
      </c>
      <c r="L13" s="13">
        <f t="shared" ca="1" si="5"/>
        <v>425</v>
      </c>
      <c r="M13" s="14">
        <f t="shared" ca="1" si="6"/>
        <v>440</v>
      </c>
      <c r="O13" s="3">
        <v>10</v>
      </c>
      <c r="P13">
        <f t="shared" ref="P13:V15" si="9">P12+1</f>
        <v>11</v>
      </c>
      <c r="Q13">
        <f t="shared" si="9"/>
        <v>23</v>
      </c>
      <c r="R13">
        <f t="shared" si="9"/>
        <v>35</v>
      </c>
      <c r="S13">
        <f t="shared" si="9"/>
        <v>47</v>
      </c>
      <c r="T13">
        <f t="shared" si="9"/>
        <v>59</v>
      </c>
      <c r="U13">
        <f t="shared" si="9"/>
        <v>71</v>
      </c>
      <c r="V13">
        <f t="shared" si="9"/>
        <v>83</v>
      </c>
    </row>
    <row r="14" spans="1:23" x14ac:dyDescent="0.25">
      <c r="A14">
        <v>2007</v>
      </c>
      <c r="B14">
        <v>7</v>
      </c>
      <c r="C14" s="11">
        <v>39264</v>
      </c>
      <c r="D14" s="4">
        <v>3416</v>
      </c>
      <c r="E14">
        <f>Figure30.4!J17</f>
        <v>1333</v>
      </c>
      <c r="F14" s="12" t="s">
        <v>14</v>
      </c>
      <c r="G14" s="13">
        <f t="shared" ref="G14:L15" ca="1" si="10">INDIRECT($U$3&amp;P14)</f>
        <v>26</v>
      </c>
      <c r="H14" s="13">
        <f t="shared" ca="1" si="10"/>
        <v>33</v>
      </c>
      <c r="I14" s="13">
        <f t="shared" ca="1" si="10"/>
        <v>24</v>
      </c>
      <c r="J14" s="13">
        <f t="shared" ca="1" si="10"/>
        <v>48</v>
      </c>
      <c r="K14" s="13">
        <f t="shared" ca="1" si="10"/>
        <v>50</v>
      </c>
      <c r="L14" s="13">
        <f t="shared" ca="1" si="10"/>
        <v>45</v>
      </c>
      <c r="M14" s="14"/>
      <c r="O14" s="3">
        <v>11</v>
      </c>
      <c r="P14">
        <f t="shared" si="9"/>
        <v>12</v>
      </c>
      <c r="Q14">
        <f t="shared" si="9"/>
        <v>24</v>
      </c>
      <c r="R14">
        <f t="shared" si="9"/>
        <v>36</v>
      </c>
      <c r="S14">
        <f t="shared" si="9"/>
        <v>48</v>
      </c>
      <c r="T14">
        <f t="shared" si="9"/>
        <v>60</v>
      </c>
      <c r="U14">
        <f t="shared" si="9"/>
        <v>72</v>
      </c>
      <c r="V14">
        <f t="shared" si="9"/>
        <v>84</v>
      </c>
    </row>
    <row r="15" spans="1:23" ht="15.75" thickBot="1" x14ac:dyDescent="0.3">
      <c r="A15">
        <v>2007</v>
      </c>
      <c r="B15">
        <v>8</v>
      </c>
      <c r="C15" s="11">
        <v>39295</v>
      </c>
      <c r="D15" s="4">
        <v>10</v>
      </c>
      <c r="E15">
        <f>Figure30.4!J18</f>
        <v>118.2</v>
      </c>
      <c r="F15" s="15" t="s">
        <v>15</v>
      </c>
      <c r="G15" s="16">
        <f t="shared" ca="1" si="10"/>
        <v>2609</v>
      </c>
      <c r="H15" s="16">
        <f t="shared" ca="1" si="10"/>
        <v>2651</v>
      </c>
      <c r="I15" s="16">
        <f t="shared" ca="1" si="10"/>
        <v>4572</v>
      </c>
      <c r="J15" s="16">
        <f t="shared" ca="1" si="10"/>
        <v>4303</v>
      </c>
      <c r="K15" s="16">
        <f t="shared" ca="1" si="10"/>
        <v>4420</v>
      </c>
      <c r="L15" s="16">
        <f t="shared" ca="1" si="10"/>
        <v>5043</v>
      </c>
      <c r="M15" s="17"/>
      <c r="O15" s="3">
        <v>12</v>
      </c>
      <c r="P15">
        <f t="shared" si="9"/>
        <v>13</v>
      </c>
      <c r="Q15">
        <f t="shared" si="9"/>
        <v>25</v>
      </c>
      <c r="R15">
        <f t="shared" si="9"/>
        <v>37</v>
      </c>
      <c r="S15">
        <f t="shared" si="9"/>
        <v>49</v>
      </c>
      <c r="T15">
        <f t="shared" si="9"/>
        <v>61</v>
      </c>
      <c r="U15">
        <f t="shared" si="9"/>
        <v>73</v>
      </c>
      <c r="V15">
        <f t="shared" si="9"/>
        <v>85</v>
      </c>
    </row>
    <row r="16" spans="1:23" x14ac:dyDescent="0.25">
      <c r="A16">
        <v>2007</v>
      </c>
      <c r="B16">
        <v>9</v>
      </c>
      <c r="C16" s="11">
        <v>39326</v>
      </c>
      <c r="D16" s="4">
        <v>356</v>
      </c>
      <c r="E16">
        <f>Figure30.4!J19</f>
        <v>639.70000000000005</v>
      </c>
    </row>
    <row r="17" spans="1:5" x14ac:dyDescent="0.25">
      <c r="A17">
        <v>2007</v>
      </c>
      <c r="B17">
        <v>10</v>
      </c>
      <c r="C17" s="11">
        <v>39356</v>
      </c>
      <c r="D17" s="4">
        <v>278</v>
      </c>
      <c r="E17">
        <f>Figure30.4!J20</f>
        <v>752.9</v>
      </c>
    </row>
    <row r="18" spans="1:5" x14ac:dyDescent="0.25">
      <c r="A18">
        <v>2007</v>
      </c>
      <c r="B18">
        <v>11</v>
      </c>
      <c r="C18" s="11">
        <v>39387</v>
      </c>
      <c r="D18" s="4">
        <v>50</v>
      </c>
      <c r="E18">
        <f>Figure30.4!J21</f>
        <v>831.2</v>
      </c>
    </row>
    <row r="19" spans="1:5" x14ac:dyDescent="0.25">
      <c r="A19">
        <v>2007</v>
      </c>
      <c r="B19">
        <v>12</v>
      </c>
      <c r="C19" s="11">
        <v>39417</v>
      </c>
      <c r="D19" s="4">
        <v>3256</v>
      </c>
      <c r="E19">
        <f>Figure30.4!J22</f>
        <v>1277.0999999999999</v>
      </c>
    </row>
    <row r="20" spans="1:5" x14ac:dyDescent="0.25">
      <c r="A20">
        <v>2007</v>
      </c>
      <c r="B20">
        <v>1</v>
      </c>
      <c r="C20" s="11">
        <v>39083</v>
      </c>
      <c r="D20" s="4">
        <v>2044</v>
      </c>
      <c r="E20">
        <f>Figure30.4!J23</f>
        <v>1109.4000000000001</v>
      </c>
    </row>
    <row r="21" spans="1:5" x14ac:dyDescent="0.25">
      <c r="A21">
        <v>2007</v>
      </c>
      <c r="B21">
        <v>2</v>
      </c>
      <c r="C21" s="11">
        <v>39114</v>
      </c>
      <c r="D21" s="4">
        <v>57</v>
      </c>
      <c r="E21">
        <f>Figure30.4!J24</f>
        <v>690.9</v>
      </c>
    </row>
    <row r="22" spans="1:5" x14ac:dyDescent="0.25">
      <c r="A22">
        <v>2007</v>
      </c>
      <c r="B22">
        <v>3</v>
      </c>
      <c r="C22" s="11">
        <v>39142</v>
      </c>
      <c r="D22" s="4">
        <v>604</v>
      </c>
      <c r="E22">
        <f>Figure30.4!J25</f>
        <v>974.6</v>
      </c>
    </row>
    <row r="23" spans="1:5" x14ac:dyDescent="0.25">
      <c r="A23">
        <v>2008</v>
      </c>
      <c r="B23">
        <v>4</v>
      </c>
      <c r="C23" s="11">
        <v>39539</v>
      </c>
      <c r="D23" s="4">
        <v>236</v>
      </c>
      <c r="E23">
        <f>Figure30.4!J26</f>
        <v>866.8</v>
      </c>
    </row>
    <row r="24" spans="1:5" x14ac:dyDescent="0.25">
      <c r="A24">
        <v>2008</v>
      </c>
      <c r="B24">
        <v>5</v>
      </c>
      <c r="C24" s="11">
        <v>39569</v>
      </c>
      <c r="D24" s="4">
        <v>33</v>
      </c>
      <c r="E24">
        <f>Figure30.4!J27</f>
        <v>857.5</v>
      </c>
    </row>
    <row r="25" spans="1:5" x14ac:dyDescent="0.25">
      <c r="A25">
        <v>2008</v>
      </c>
      <c r="B25">
        <v>6</v>
      </c>
      <c r="C25" s="11">
        <v>39600</v>
      </c>
      <c r="D25" s="4">
        <v>2651</v>
      </c>
      <c r="E25">
        <f>Figure30.4!J28</f>
        <v>895.1</v>
      </c>
    </row>
    <row r="26" spans="1:5" x14ac:dyDescent="0.25">
      <c r="A26">
        <v>2008</v>
      </c>
      <c r="B26">
        <v>7</v>
      </c>
      <c r="C26" s="11">
        <v>39630</v>
      </c>
      <c r="D26" s="4">
        <v>3835</v>
      </c>
      <c r="E26">
        <f>Figure30.4!J29</f>
        <v>1496.5</v>
      </c>
    </row>
    <row r="27" spans="1:5" x14ac:dyDescent="0.25">
      <c r="A27">
        <v>2008</v>
      </c>
      <c r="B27">
        <v>8</v>
      </c>
      <c r="C27" s="11">
        <v>39661</v>
      </c>
      <c r="D27" s="4">
        <v>133</v>
      </c>
      <c r="E27">
        <f>Figure30.4!J30</f>
        <v>1572.2</v>
      </c>
    </row>
    <row r="28" spans="1:5" x14ac:dyDescent="0.25">
      <c r="A28">
        <v>2008</v>
      </c>
      <c r="B28">
        <v>9</v>
      </c>
      <c r="C28" s="11">
        <v>39692</v>
      </c>
      <c r="D28" s="4">
        <v>642</v>
      </c>
      <c r="E28">
        <f>Figure30.4!J31</f>
        <v>1153.5999999999999</v>
      </c>
    </row>
    <row r="29" spans="1:5" x14ac:dyDescent="0.25">
      <c r="A29">
        <v>2008</v>
      </c>
      <c r="B29">
        <v>10</v>
      </c>
      <c r="C29" s="11">
        <v>39722</v>
      </c>
      <c r="D29" s="4">
        <v>248</v>
      </c>
      <c r="E29">
        <f>Figure30.4!J32</f>
        <v>671.7</v>
      </c>
    </row>
    <row r="30" spans="1:5" x14ac:dyDescent="0.25">
      <c r="A30">
        <v>2008</v>
      </c>
      <c r="B30">
        <v>11</v>
      </c>
      <c r="C30" s="11">
        <v>39753</v>
      </c>
      <c r="D30" s="4">
        <v>6</v>
      </c>
      <c r="E30">
        <f>Figure30.4!J33</f>
        <v>99.7</v>
      </c>
    </row>
    <row r="31" spans="1:5" x14ac:dyDescent="0.25">
      <c r="A31">
        <v>2008</v>
      </c>
      <c r="B31">
        <v>12</v>
      </c>
      <c r="C31" s="11">
        <v>39783</v>
      </c>
      <c r="D31" s="4">
        <v>1492</v>
      </c>
      <c r="E31">
        <f>Figure30.4!J34</f>
        <v>585.20000000000005</v>
      </c>
    </row>
    <row r="32" spans="1:5" x14ac:dyDescent="0.25">
      <c r="A32">
        <v>2008</v>
      </c>
      <c r="B32">
        <v>1</v>
      </c>
      <c r="C32" s="11">
        <v>39448</v>
      </c>
      <c r="D32" s="4">
        <v>3602</v>
      </c>
      <c r="E32">
        <f>Figure30.4!J35</f>
        <v>1955</v>
      </c>
    </row>
    <row r="33" spans="1:5" x14ac:dyDescent="0.25">
      <c r="A33">
        <v>2008</v>
      </c>
      <c r="B33">
        <v>2</v>
      </c>
      <c r="C33" s="11">
        <v>39479</v>
      </c>
      <c r="D33" s="4">
        <v>81</v>
      </c>
      <c r="E33">
        <f>Figure30.4!J36</f>
        <v>981.8</v>
      </c>
    </row>
    <row r="34" spans="1:5" x14ac:dyDescent="0.25">
      <c r="A34">
        <v>2008</v>
      </c>
      <c r="B34">
        <v>3</v>
      </c>
      <c r="C34" s="11">
        <v>39508</v>
      </c>
      <c r="D34" s="4">
        <v>826</v>
      </c>
      <c r="E34">
        <f>Figure30.4!J37</f>
        <v>1332.8</v>
      </c>
    </row>
    <row r="35" spans="1:5" x14ac:dyDescent="0.25">
      <c r="A35">
        <v>2009</v>
      </c>
      <c r="B35">
        <v>4</v>
      </c>
      <c r="C35" s="11">
        <v>39904</v>
      </c>
      <c r="D35" s="4">
        <v>339</v>
      </c>
      <c r="E35">
        <f>Figure30.4!J38</f>
        <v>1245.0999999999999</v>
      </c>
    </row>
    <row r="36" spans="1:5" x14ac:dyDescent="0.25">
      <c r="A36">
        <v>2009</v>
      </c>
      <c r="B36">
        <v>5</v>
      </c>
      <c r="C36" s="11">
        <v>39934</v>
      </c>
      <c r="D36" s="4">
        <v>24</v>
      </c>
      <c r="E36">
        <f>Figure30.4!J39</f>
        <v>623.6</v>
      </c>
    </row>
    <row r="37" spans="1:5" x14ac:dyDescent="0.25">
      <c r="A37">
        <v>2009</v>
      </c>
      <c r="B37">
        <v>6</v>
      </c>
      <c r="C37" s="11">
        <v>39965</v>
      </c>
      <c r="D37" s="4">
        <v>4572</v>
      </c>
      <c r="E37">
        <f>Figure30.4!J40</f>
        <v>1543.6</v>
      </c>
    </row>
    <row r="38" spans="1:5" x14ac:dyDescent="0.25">
      <c r="A38">
        <v>2009</v>
      </c>
      <c r="B38">
        <v>7</v>
      </c>
      <c r="C38" s="11">
        <v>39995</v>
      </c>
      <c r="D38" s="4">
        <v>2754</v>
      </c>
      <c r="E38">
        <f>Figure30.4!J41</f>
        <v>1074.7</v>
      </c>
    </row>
    <row r="39" spans="1:5" x14ac:dyDescent="0.25">
      <c r="A39">
        <v>2009</v>
      </c>
      <c r="B39">
        <v>8</v>
      </c>
      <c r="C39" s="11">
        <v>40026</v>
      </c>
      <c r="D39" s="4">
        <v>37</v>
      </c>
      <c r="E39">
        <f>Figure30.4!J42</f>
        <v>437.4</v>
      </c>
    </row>
    <row r="40" spans="1:5" x14ac:dyDescent="0.25">
      <c r="A40">
        <v>2009</v>
      </c>
      <c r="B40">
        <v>9</v>
      </c>
      <c r="C40" s="11">
        <v>40057</v>
      </c>
      <c r="D40" s="4">
        <v>648</v>
      </c>
      <c r="E40">
        <f>Figure30.4!J43</f>
        <v>1164.3</v>
      </c>
    </row>
    <row r="41" spans="1:5" x14ac:dyDescent="0.25">
      <c r="A41">
        <v>2009</v>
      </c>
      <c r="B41">
        <v>10</v>
      </c>
      <c r="C41" s="11">
        <v>40087</v>
      </c>
      <c r="D41" s="4">
        <v>702</v>
      </c>
      <c r="E41">
        <f>Figure30.4!J44</f>
        <v>1901.3</v>
      </c>
    </row>
    <row r="42" spans="1:5" x14ac:dyDescent="0.25">
      <c r="A42">
        <v>2009</v>
      </c>
      <c r="B42">
        <v>11</v>
      </c>
      <c r="C42" s="11">
        <v>40118</v>
      </c>
      <c r="D42" s="4">
        <v>67</v>
      </c>
      <c r="E42">
        <f>Figure30.4!J45</f>
        <v>1113.8</v>
      </c>
    </row>
    <row r="43" spans="1:5" x14ac:dyDescent="0.25">
      <c r="A43">
        <v>2009</v>
      </c>
      <c r="B43">
        <v>12</v>
      </c>
      <c r="C43" s="11">
        <v>40148</v>
      </c>
      <c r="D43" s="4">
        <v>3826</v>
      </c>
      <c r="E43">
        <f>Figure30.4!J46</f>
        <v>1500.7</v>
      </c>
    </row>
    <row r="44" spans="1:5" x14ac:dyDescent="0.25">
      <c r="A44">
        <v>2009</v>
      </c>
      <c r="B44">
        <v>1</v>
      </c>
      <c r="C44" s="11">
        <v>39814</v>
      </c>
      <c r="D44" s="4">
        <v>1993</v>
      </c>
      <c r="E44">
        <f>Figure30.4!J47</f>
        <v>1081.7</v>
      </c>
    </row>
    <row r="45" spans="1:5" x14ac:dyDescent="0.25">
      <c r="A45">
        <v>2009</v>
      </c>
      <c r="B45">
        <v>2</v>
      </c>
      <c r="C45" s="11">
        <v>39845</v>
      </c>
      <c r="D45" s="4">
        <v>174</v>
      </c>
      <c r="E45">
        <f>Figure30.4!J48</f>
        <v>2109</v>
      </c>
    </row>
    <row r="46" spans="1:5" x14ac:dyDescent="0.25">
      <c r="A46">
        <v>2009</v>
      </c>
      <c r="B46">
        <v>3</v>
      </c>
      <c r="C46" s="11">
        <v>39873</v>
      </c>
      <c r="D46" s="4">
        <v>884</v>
      </c>
      <c r="E46">
        <f>Figure30.4!J49</f>
        <v>1426.4</v>
      </c>
    </row>
    <row r="47" spans="1:5" x14ac:dyDescent="0.25">
      <c r="A47">
        <v>2010</v>
      </c>
      <c r="B47">
        <v>4</v>
      </c>
      <c r="C47" s="11">
        <v>40269</v>
      </c>
      <c r="D47" s="4">
        <v>376</v>
      </c>
      <c r="E47">
        <f>Figure30.4!J50</f>
        <v>1381</v>
      </c>
    </row>
    <row r="48" spans="1:5" x14ac:dyDescent="0.25">
      <c r="A48">
        <v>2010</v>
      </c>
      <c r="B48">
        <v>5</v>
      </c>
      <c r="C48" s="11">
        <v>40299</v>
      </c>
      <c r="D48" s="4">
        <v>48</v>
      </c>
      <c r="E48">
        <f>Figure30.4!J51</f>
        <v>1247.3</v>
      </c>
    </row>
    <row r="49" spans="1:5" x14ac:dyDescent="0.25">
      <c r="A49">
        <v>2010</v>
      </c>
      <c r="B49">
        <v>6</v>
      </c>
      <c r="C49" s="11">
        <v>40330</v>
      </c>
      <c r="D49" s="4">
        <v>4303</v>
      </c>
      <c r="E49">
        <f>Figure30.4!J52</f>
        <v>1452.8</v>
      </c>
    </row>
    <row r="50" spans="1:5" x14ac:dyDescent="0.25">
      <c r="A50">
        <v>2010</v>
      </c>
      <c r="B50">
        <v>7</v>
      </c>
      <c r="C50" s="11">
        <v>40360</v>
      </c>
      <c r="D50" s="4">
        <v>3122</v>
      </c>
      <c r="E50">
        <f>Figure30.4!J53</f>
        <v>1218.3</v>
      </c>
    </row>
    <row r="51" spans="1:5" x14ac:dyDescent="0.25">
      <c r="A51">
        <v>2010</v>
      </c>
      <c r="B51">
        <v>8</v>
      </c>
      <c r="C51" s="11">
        <v>40391</v>
      </c>
      <c r="D51" s="4">
        <v>110</v>
      </c>
      <c r="E51">
        <f>Figure30.4!J54</f>
        <v>1300.3</v>
      </c>
    </row>
    <row r="52" spans="1:5" x14ac:dyDescent="0.25">
      <c r="A52">
        <v>2010</v>
      </c>
      <c r="B52">
        <v>9</v>
      </c>
      <c r="C52" s="11">
        <v>40422</v>
      </c>
      <c r="D52" s="4">
        <v>980</v>
      </c>
      <c r="E52">
        <f>Figure30.4!J55</f>
        <v>1760.9</v>
      </c>
    </row>
    <row r="53" spans="1:5" x14ac:dyDescent="0.25">
      <c r="A53">
        <v>2010</v>
      </c>
      <c r="B53">
        <v>10</v>
      </c>
      <c r="C53" s="11">
        <v>40452</v>
      </c>
      <c r="D53" s="4">
        <v>413</v>
      </c>
      <c r="E53">
        <f>Figure30.4!J56</f>
        <v>1118.5999999999999</v>
      </c>
    </row>
    <row r="54" spans="1:5" x14ac:dyDescent="0.25">
      <c r="A54">
        <v>2010</v>
      </c>
      <c r="B54">
        <v>11</v>
      </c>
      <c r="C54" s="11">
        <v>40483</v>
      </c>
      <c r="D54" s="4">
        <v>57</v>
      </c>
      <c r="E54">
        <f>Figure30.4!J57</f>
        <v>947.6</v>
      </c>
    </row>
    <row r="55" spans="1:5" x14ac:dyDescent="0.25">
      <c r="A55">
        <v>2010</v>
      </c>
      <c r="B55">
        <v>12</v>
      </c>
      <c r="C55" s="11">
        <v>40513</v>
      </c>
      <c r="D55" s="4">
        <v>3842</v>
      </c>
      <c r="E55">
        <f>Figure30.4!J58</f>
        <v>1507</v>
      </c>
    </row>
    <row r="56" spans="1:5" x14ac:dyDescent="0.25">
      <c r="A56">
        <v>2010</v>
      </c>
      <c r="B56">
        <v>1</v>
      </c>
      <c r="C56" s="11">
        <v>40179</v>
      </c>
      <c r="D56" s="4">
        <v>2304</v>
      </c>
      <c r="E56">
        <f>Figure30.4!J59</f>
        <v>1250.5</v>
      </c>
    </row>
    <row r="57" spans="1:5" x14ac:dyDescent="0.25">
      <c r="A57">
        <v>2010</v>
      </c>
      <c r="B57">
        <v>2</v>
      </c>
      <c r="C57" s="11">
        <v>40210</v>
      </c>
      <c r="D57" s="4">
        <v>99</v>
      </c>
      <c r="E57">
        <f>Figure30.4!J60</f>
        <v>1200</v>
      </c>
    </row>
    <row r="58" spans="1:5" x14ac:dyDescent="0.25">
      <c r="A58">
        <v>2010</v>
      </c>
      <c r="B58">
        <v>3</v>
      </c>
      <c r="C58" s="11">
        <v>40238</v>
      </c>
      <c r="D58" s="4">
        <v>938</v>
      </c>
      <c r="E58">
        <f>Figure30.4!J61</f>
        <v>1513.5</v>
      </c>
    </row>
    <row r="59" spans="1:5" x14ac:dyDescent="0.25">
      <c r="A59">
        <v>2011</v>
      </c>
      <c r="B59">
        <v>4</v>
      </c>
      <c r="C59" s="11">
        <v>40634</v>
      </c>
      <c r="D59" s="4">
        <v>372</v>
      </c>
      <c r="E59">
        <f>Figure30.4!J62</f>
        <v>1366.3</v>
      </c>
    </row>
    <row r="60" spans="1:5" x14ac:dyDescent="0.25">
      <c r="A60">
        <v>2011</v>
      </c>
      <c r="B60">
        <v>5</v>
      </c>
      <c r="C60" s="11">
        <v>40664</v>
      </c>
      <c r="D60" s="4">
        <v>50</v>
      </c>
      <c r="E60">
        <f>Figure30.4!J63</f>
        <v>1299.3</v>
      </c>
    </row>
    <row r="61" spans="1:5" x14ac:dyDescent="0.25">
      <c r="A61">
        <v>2011</v>
      </c>
      <c r="B61">
        <v>6</v>
      </c>
      <c r="C61" s="11">
        <v>40695</v>
      </c>
      <c r="D61" s="4">
        <v>4420</v>
      </c>
      <c r="E61">
        <f>Figure30.4!J64</f>
        <v>1492.3</v>
      </c>
    </row>
    <row r="62" spans="1:5" x14ac:dyDescent="0.25">
      <c r="A62">
        <v>2011</v>
      </c>
      <c r="B62">
        <v>7</v>
      </c>
      <c r="C62" s="11">
        <v>40725</v>
      </c>
      <c r="D62" s="4">
        <v>3455</v>
      </c>
      <c r="E62">
        <f>Figure30.4!J65</f>
        <v>1348.2</v>
      </c>
    </row>
    <row r="63" spans="1:5" x14ac:dyDescent="0.25">
      <c r="A63">
        <v>2011</v>
      </c>
      <c r="B63">
        <v>8</v>
      </c>
      <c r="C63" s="11">
        <v>40756</v>
      </c>
      <c r="D63" s="4">
        <v>127</v>
      </c>
      <c r="E63">
        <f>Figure30.4!J66</f>
        <v>1501.2</v>
      </c>
    </row>
    <row r="64" spans="1:5" x14ac:dyDescent="0.25">
      <c r="A64">
        <v>2011</v>
      </c>
      <c r="B64">
        <v>9</v>
      </c>
      <c r="C64" s="11">
        <v>40787</v>
      </c>
      <c r="D64" s="4">
        <v>1024</v>
      </c>
      <c r="E64">
        <f>Figure30.4!J67</f>
        <v>1840</v>
      </c>
    </row>
    <row r="65" spans="1:5" x14ac:dyDescent="0.25">
      <c r="A65">
        <v>2011</v>
      </c>
      <c r="B65">
        <v>10</v>
      </c>
      <c r="C65" s="11">
        <v>40817</v>
      </c>
      <c r="D65" s="4">
        <v>532</v>
      </c>
      <c r="E65">
        <f>Figure30.4!J68</f>
        <v>1440.9</v>
      </c>
    </row>
    <row r="66" spans="1:5" x14ac:dyDescent="0.25">
      <c r="A66">
        <v>2011</v>
      </c>
      <c r="B66">
        <v>11</v>
      </c>
      <c r="C66" s="11">
        <v>40848</v>
      </c>
      <c r="D66" s="4">
        <v>162</v>
      </c>
      <c r="E66">
        <f>Figure30.4!J69</f>
        <v>2693.1</v>
      </c>
    </row>
    <row r="67" spans="1:5" x14ac:dyDescent="0.25">
      <c r="A67">
        <v>2011</v>
      </c>
      <c r="B67">
        <v>12</v>
      </c>
      <c r="C67" s="11">
        <v>40878</v>
      </c>
      <c r="D67" s="4">
        <v>4391</v>
      </c>
      <c r="E67">
        <f>Figure30.4!J70</f>
        <v>1722.3</v>
      </c>
    </row>
    <row r="68" spans="1:5" x14ac:dyDescent="0.25">
      <c r="A68">
        <v>2011</v>
      </c>
      <c r="B68">
        <v>1</v>
      </c>
      <c r="C68" s="11">
        <v>40544</v>
      </c>
      <c r="D68" s="4">
        <v>2021</v>
      </c>
      <c r="E68">
        <f>Figure30.4!J71</f>
        <v>1096.9000000000001</v>
      </c>
    </row>
    <row r="69" spans="1:5" x14ac:dyDescent="0.25">
      <c r="A69">
        <v>2011</v>
      </c>
      <c r="B69">
        <v>2</v>
      </c>
      <c r="C69" s="11">
        <v>40575</v>
      </c>
      <c r="D69" s="4">
        <v>106</v>
      </c>
      <c r="E69">
        <f>Figure30.4!J72</f>
        <v>1284.8</v>
      </c>
    </row>
    <row r="70" spans="1:5" x14ac:dyDescent="0.25">
      <c r="A70">
        <v>2011</v>
      </c>
      <c r="B70">
        <v>3</v>
      </c>
      <c r="C70" s="11">
        <v>40603</v>
      </c>
      <c r="D70" s="4">
        <v>980</v>
      </c>
      <c r="E70">
        <f>Figure30.4!J73</f>
        <v>1581.2</v>
      </c>
    </row>
    <row r="71" spans="1:5" x14ac:dyDescent="0.25">
      <c r="A71">
        <v>2012</v>
      </c>
      <c r="B71">
        <v>4</v>
      </c>
      <c r="C71" s="11">
        <v>41000</v>
      </c>
      <c r="D71" s="4">
        <v>425</v>
      </c>
      <c r="E71">
        <f>Figure30.4!J74</f>
        <v>1560.9</v>
      </c>
    </row>
    <row r="72" spans="1:5" x14ac:dyDescent="0.25">
      <c r="A72">
        <v>2012</v>
      </c>
      <c r="B72">
        <v>5</v>
      </c>
      <c r="C72" s="11">
        <v>41030</v>
      </c>
      <c r="D72" s="4">
        <v>45</v>
      </c>
      <c r="E72">
        <f>Figure30.4!J75</f>
        <v>1169.3</v>
      </c>
    </row>
    <row r="73" spans="1:5" x14ac:dyDescent="0.25">
      <c r="A73">
        <v>2012</v>
      </c>
      <c r="B73">
        <v>6</v>
      </c>
      <c r="C73" s="11">
        <v>41061</v>
      </c>
      <c r="D73" s="4">
        <v>5043</v>
      </c>
      <c r="E73">
        <f>Figure30.4!J76</f>
        <v>1702.7</v>
      </c>
    </row>
    <row r="74" spans="1:5" x14ac:dyDescent="0.25">
      <c r="A74">
        <v>2012</v>
      </c>
      <c r="B74">
        <v>7</v>
      </c>
      <c r="C74" s="11">
        <v>41091</v>
      </c>
      <c r="D74" s="4">
        <v>3091</v>
      </c>
      <c r="E74">
        <f>Figure30.4!J77</f>
        <v>1206.2</v>
      </c>
    </row>
    <row r="75" spans="1:5" x14ac:dyDescent="0.25">
      <c r="A75">
        <v>2012</v>
      </c>
      <c r="B75">
        <v>8</v>
      </c>
      <c r="C75" s="11">
        <v>41122</v>
      </c>
      <c r="D75" s="4">
        <v>198</v>
      </c>
      <c r="E75">
        <f>Figure30.4!J78</f>
        <v>2340.5</v>
      </c>
    </row>
    <row r="76" spans="1:5" x14ac:dyDescent="0.25">
      <c r="A76">
        <v>2012</v>
      </c>
      <c r="B76">
        <v>9</v>
      </c>
      <c r="C76" s="11">
        <v>41153</v>
      </c>
      <c r="D76" s="4">
        <v>790</v>
      </c>
      <c r="E76">
        <f>Figure30.4!J79</f>
        <v>1419.5</v>
      </c>
    </row>
    <row r="77" spans="1:5" x14ac:dyDescent="0.25">
      <c r="A77">
        <v>2012</v>
      </c>
      <c r="B77">
        <v>10</v>
      </c>
      <c r="C77" s="11">
        <v>41183</v>
      </c>
      <c r="D77" s="4">
        <v>784</v>
      </c>
      <c r="E77">
        <f>Figure30.4!J80</f>
        <v>2123.4</v>
      </c>
    </row>
    <row r="78" spans="1:5" x14ac:dyDescent="0.25">
      <c r="A78">
        <v>2012</v>
      </c>
      <c r="B78">
        <v>11</v>
      </c>
      <c r="C78" s="11">
        <v>41214</v>
      </c>
      <c r="D78" s="4">
        <v>78</v>
      </c>
      <c r="E78">
        <f>Figure30.4!J81</f>
        <v>1296.7</v>
      </c>
    </row>
    <row r="79" spans="1:5" x14ac:dyDescent="0.25">
      <c r="A79">
        <v>2012</v>
      </c>
      <c r="B79">
        <v>12</v>
      </c>
      <c r="C79" s="11">
        <v>41244</v>
      </c>
      <c r="D79" s="4">
        <v>4124</v>
      </c>
      <c r="E79">
        <f>Figure30.4!J82</f>
        <v>1617.6</v>
      </c>
    </row>
    <row r="80" spans="1:5" x14ac:dyDescent="0.25">
      <c r="A80">
        <v>2012</v>
      </c>
      <c r="B80">
        <v>1</v>
      </c>
      <c r="C80" s="11">
        <v>40909</v>
      </c>
      <c r="D80" s="4">
        <v>2647</v>
      </c>
      <c r="E80">
        <f>Figure30.4!J83</f>
        <v>1436.7</v>
      </c>
    </row>
    <row r="81" spans="1:5" x14ac:dyDescent="0.25">
      <c r="A81">
        <v>2012</v>
      </c>
      <c r="B81">
        <v>2</v>
      </c>
      <c r="C81" s="11">
        <v>40940</v>
      </c>
      <c r="D81" s="4">
        <v>86</v>
      </c>
      <c r="E81">
        <f>Figure30.4!J84</f>
        <v>1042.4000000000001</v>
      </c>
    </row>
    <row r="82" spans="1:5" x14ac:dyDescent="0.25">
      <c r="A82">
        <v>2012</v>
      </c>
      <c r="B82">
        <v>3</v>
      </c>
      <c r="C82" s="11">
        <v>40969</v>
      </c>
      <c r="D82" s="4">
        <v>972</v>
      </c>
      <c r="E82">
        <f>Figure30.4!J85</f>
        <v>1568.3</v>
      </c>
    </row>
    <row r="83" spans="1:5" x14ac:dyDescent="0.25">
      <c r="A83">
        <v>2013</v>
      </c>
      <c r="B83">
        <v>4</v>
      </c>
      <c r="C83" s="11">
        <v>41365</v>
      </c>
      <c r="D83" s="4">
        <v>440</v>
      </c>
      <c r="E83">
        <f>Figure30.4!J86</f>
        <v>1616</v>
      </c>
    </row>
    <row r="84" spans="1:5" x14ac:dyDescent="0.25">
      <c r="C84" s="5"/>
      <c r="D84" s="4"/>
    </row>
    <row r="85" spans="1:5" x14ac:dyDescent="0.25">
      <c r="C85" s="5"/>
      <c r="D85" s="4"/>
    </row>
    <row r="86" spans="1:5" x14ac:dyDescent="0.25">
      <c r="C86" s="5"/>
      <c r="D86" s="4"/>
    </row>
    <row r="87" spans="1:5" x14ac:dyDescent="0.25">
      <c r="C87" s="5"/>
      <c r="D87" s="4"/>
    </row>
    <row r="88" spans="1:5" x14ac:dyDescent="0.25">
      <c r="C88" s="5"/>
      <c r="D88" s="4"/>
    </row>
  </sheetData>
  <mergeCells count="2">
    <mergeCell ref="F2:M2"/>
    <mergeCell ref="O1:W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workbookViewId="0">
      <pane xSplit="2" ySplit="4" topLeftCell="C56" activePane="bottomRight" state="frozen"/>
      <selection pane="topRight" activeCell="C1" sqref="C1"/>
      <selection pane="bottomLeft" activeCell="A5" sqref="A5"/>
      <selection pane="bottomRight" sqref="A1:J86"/>
    </sheetView>
  </sheetViews>
  <sheetFormatPr defaultRowHeight="15" x14ac:dyDescent="0.25"/>
  <cols>
    <col min="2" max="2" width="9.7109375" bestFit="1" customWidth="1"/>
    <col min="7" max="7" width="10" customWidth="1"/>
    <col min="8" max="8" width="12.7109375" customWidth="1"/>
    <col min="9" max="9" width="10.85546875" customWidth="1"/>
    <col min="10" max="10" width="9.5703125" bestFit="1" customWidth="1"/>
    <col min="12" max="12" width="9.140625" style="9"/>
  </cols>
  <sheetData>
    <row r="1" spans="1:16" ht="45" x14ac:dyDescent="0.25">
      <c r="A1" s="1" t="s">
        <v>4</v>
      </c>
      <c r="B1" s="1" t="s">
        <v>1</v>
      </c>
      <c r="C1" s="1" t="s">
        <v>2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</row>
    <row r="2" spans="1:16" x14ac:dyDescent="0.25">
      <c r="H2">
        <f>COUNT(G11:G22)</f>
        <v>12</v>
      </c>
    </row>
    <row r="3" spans="1:16" x14ac:dyDescent="0.25">
      <c r="G3" s="6">
        <f>SUM(G11:G22)</f>
        <v>11.971026645431749</v>
      </c>
      <c r="H3" s="7">
        <f>SUM(H11:H22)</f>
        <v>12</v>
      </c>
      <c r="I3" s="6">
        <f>SUM(I11:I22)</f>
        <v>11.999999999999998</v>
      </c>
    </row>
    <row r="4" spans="1:16" x14ac:dyDescent="0.25">
      <c r="H4" s="8">
        <f>H2/G3</f>
        <v>1.0024202898737433</v>
      </c>
      <c r="I4">
        <v>0.99</v>
      </c>
    </row>
    <row r="5" spans="1:16" x14ac:dyDescent="0.25">
      <c r="A5">
        <v>1</v>
      </c>
      <c r="B5" s="9">
        <f>Figure30p3!C2</f>
        <v>38899</v>
      </c>
      <c r="C5" s="4">
        <f>Figure30p3!D2</f>
        <v>2400</v>
      </c>
      <c r="I5" s="6">
        <f t="shared" ref="I5:I9" si="0">I17</f>
        <v>2.5626872788629553</v>
      </c>
      <c r="J5" s="10">
        <f t="shared" ref="J5:J36" si="1">ROUND(C5/I5,1)</f>
        <v>936.5</v>
      </c>
      <c r="N5" s="9"/>
      <c r="O5" s="3"/>
      <c r="P5" s="10"/>
    </row>
    <row r="6" spans="1:16" x14ac:dyDescent="0.25">
      <c r="A6">
        <v>2</v>
      </c>
      <c r="B6" s="9">
        <f>Figure30p3!C3</f>
        <v>38930</v>
      </c>
      <c r="C6" s="4">
        <f>Figure30p3!D3</f>
        <v>103</v>
      </c>
      <c r="I6" s="6">
        <f t="shared" si="0"/>
        <v>8.4597410385537947E-2</v>
      </c>
      <c r="J6" s="10">
        <f t="shared" si="1"/>
        <v>1217.5</v>
      </c>
      <c r="N6" s="9"/>
      <c r="O6" s="3"/>
      <c r="P6" s="10"/>
    </row>
    <row r="7" spans="1:16" x14ac:dyDescent="0.25">
      <c r="A7">
        <v>3</v>
      </c>
      <c r="B7" s="9">
        <f>Figure30p3!C4</f>
        <v>38961</v>
      </c>
      <c r="C7" s="4">
        <f>Figure30p3!D4</f>
        <v>313</v>
      </c>
      <c r="I7" s="6">
        <f t="shared" si="0"/>
        <v>0.55653448165115826</v>
      </c>
      <c r="J7" s="10">
        <f t="shared" si="1"/>
        <v>562.4</v>
      </c>
      <c r="N7" s="9"/>
      <c r="O7" s="3"/>
      <c r="P7" s="10"/>
    </row>
    <row r="8" spans="1:16" x14ac:dyDescent="0.25">
      <c r="A8">
        <v>4</v>
      </c>
      <c r="B8" s="9">
        <f>Figure30p3!C5</f>
        <v>38991</v>
      </c>
      <c r="C8" s="4">
        <f>Figure30p3!D5</f>
        <v>323</v>
      </c>
      <c r="I8" s="6">
        <f t="shared" si="0"/>
        <v>0.36921947986446235</v>
      </c>
      <c r="J8" s="10">
        <f t="shared" si="1"/>
        <v>874.8</v>
      </c>
      <c r="N8" s="9"/>
      <c r="O8" s="3"/>
      <c r="P8" s="10"/>
    </row>
    <row r="9" spans="1:16" x14ac:dyDescent="0.25">
      <c r="A9">
        <v>5</v>
      </c>
      <c r="B9" s="9">
        <f>Figure30p3!C6</f>
        <v>39022</v>
      </c>
      <c r="C9" s="4">
        <f>Figure30p3!D6</f>
        <v>34</v>
      </c>
      <c r="I9" s="6">
        <f t="shared" si="0"/>
        <v>6.015371779497266E-2</v>
      </c>
      <c r="J9" s="10">
        <f t="shared" si="1"/>
        <v>565.20000000000005</v>
      </c>
      <c r="N9" s="9"/>
      <c r="O9" s="3"/>
      <c r="P9" s="10"/>
    </row>
    <row r="10" spans="1:16" x14ac:dyDescent="0.25">
      <c r="A10">
        <v>6</v>
      </c>
      <c r="B10" s="9">
        <f>Figure30p3!C7</f>
        <v>39052</v>
      </c>
      <c r="C10" s="4">
        <f>Figure30p3!D7</f>
        <v>3207</v>
      </c>
      <c r="I10" s="6">
        <f>I22</f>
        <v>2.5495019381631998</v>
      </c>
      <c r="J10" s="10">
        <f t="shared" si="1"/>
        <v>1257.9000000000001</v>
      </c>
      <c r="N10" s="9"/>
      <c r="O10" s="3"/>
      <c r="P10" s="10"/>
    </row>
    <row r="11" spans="1:16" x14ac:dyDescent="0.25">
      <c r="A11">
        <v>7</v>
      </c>
      <c r="B11" s="9">
        <f>Figure30p3!C8</f>
        <v>38718</v>
      </c>
      <c r="C11" s="4">
        <f>Figure30p3!D8</f>
        <v>1985</v>
      </c>
      <c r="D11" s="10">
        <f t="shared" ref="D11:D42" si="2">AVERAGE(C5:C16)</f>
        <v>993.16666666666663</v>
      </c>
      <c r="E11" s="10">
        <f t="shared" ref="E11:E42" si="3">AVERAGE(D11:D12)</f>
        <v>1035.5</v>
      </c>
      <c r="F11" s="6">
        <f t="shared" ref="F11:F42" si="4">C11/E11</f>
        <v>1.9169483341380975</v>
      </c>
      <c r="G11" s="6">
        <f>AVERAGE(F11,F23,F35,F47,F59,F71,F83)</f>
        <v>1.84651190650244</v>
      </c>
      <c r="H11" s="6">
        <f t="shared" ref="H11:H22" si="5">G11*$H$4</f>
        <v>1.8509810005714944</v>
      </c>
      <c r="I11" s="6">
        <f t="shared" ref="I11:I22" si="6">H11*$I$4+1*(1-$I$4)</f>
        <v>1.8424711905657793</v>
      </c>
      <c r="J11" s="10">
        <f t="shared" si="1"/>
        <v>1077.4000000000001</v>
      </c>
      <c r="L11" s="9">
        <f>B11</f>
        <v>38718</v>
      </c>
      <c r="N11" s="9"/>
      <c r="O11" s="3"/>
      <c r="P11" s="10"/>
    </row>
    <row r="12" spans="1:16" x14ac:dyDescent="0.25">
      <c r="A12">
        <v>8</v>
      </c>
      <c r="B12" s="9">
        <f>Figure30p3!C9</f>
        <v>38749</v>
      </c>
      <c r="C12" s="4">
        <f>Figure30p3!D9</f>
        <v>56</v>
      </c>
      <c r="D12" s="10">
        <f t="shared" si="2"/>
        <v>1077.8333333333333</v>
      </c>
      <c r="E12" s="10">
        <f t="shared" si="3"/>
        <v>1073.9583333333333</v>
      </c>
      <c r="F12" s="6">
        <f t="shared" si="4"/>
        <v>5.2143549951503401E-2</v>
      </c>
      <c r="G12" s="6">
        <f t="shared" ref="G12:G22" si="7">AVERAGE(F12,F24,F36,F48,F60,F72,F84)</f>
        <v>7.3057882031620891E-2</v>
      </c>
      <c r="H12" s="6">
        <f t="shared" si="5"/>
        <v>7.323470328369916E-2</v>
      </c>
      <c r="I12" s="6">
        <f t="shared" si="6"/>
        <v>8.2502356250862177E-2</v>
      </c>
      <c r="J12" s="10">
        <f t="shared" si="1"/>
        <v>678.8</v>
      </c>
      <c r="L12" s="9">
        <f>B23</f>
        <v>39083</v>
      </c>
      <c r="N12" s="9"/>
      <c r="O12" s="3"/>
      <c r="P12" s="10"/>
    </row>
    <row r="13" spans="1:16" x14ac:dyDescent="0.25">
      <c r="A13">
        <v>9</v>
      </c>
      <c r="B13" s="9">
        <f>Figure30p3!C10</f>
        <v>38777</v>
      </c>
      <c r="C13" s="4">
        <f>Figure30p3!D10</f>
        <v>554</v>
      </c>
      <c r="D13" s="10">
        <f t="shared" si="2"/>
        <v>1070.0833333333333</v>
      </c>
      <c r="E13" s="10">
        <f t="shared" si="3"/>
        <v>1071.875</v>
      </c>
      <c r="F13" s="6">
        <f t="shared" si="4"/>
        <v>0.51685131195335277</v>
      </c>
      <c r="G13" s="6">
        <f t="shared" si="7"/>
        <v>0.61443506146580484</v>
      </c>
      <c r="H13" s="6">
        <f t="shared" si="5"/>
        <v>0.6159221724231434</v>
      </c>
      <c r="I13" s="6">
        <f t="shared" si="6"/>
        <v>0.61976295069891196</v>
      </c>
      <c r="J13" s="10">
        <f t="shared" si="1"/>
        <v>893.9</v>
      </c>
      <c r="N13" s="9"/>
      <c r="O13" s="3"/>
      <c r="P13" s="10"/>
    </row>
    <row r="14" spans="1:16" x14ac:dyDescent="0.25">
      <c r="A14">
        <v>10</v>
      </c>
      <c r="B14" s="9">
        <f>Figure30p3!C11</f>
        <v>39173</v>
      </c>
      <c r="C14" s="4">
        <f>Figure30p3!D11</f>
        <v>308</v>
      </c>
      <c r="D14" s="10">
        <f t="shared" si="2"/>
        <v>1073.6666666666667</v>
      </c>
      <c r="E14" s="10">
        <f t="shared" si="3"/>
        <v>1071.7916666666667</v>
      </c>
      <c r="F14" s="6">
        <f t="shared" si="4"/>
        <v>0.28736928041052751</v>
      </c>
      <c r="G14" s="6">
        <f t="shared" si="7"/>
        <v>0.26428159484414937</v>
      </c>
      <c r="H14" s="6">
        <f t="shared" si="5"/>
        <v>0.2649212329119674</v>
      </c>
      <c r="I14" s="6">
        <f t="shared" si="6"/>
        <v>0.27227202058284772</v>
      </c>
      <c r="J14" s="10">
        <f t="shared" si="1"/>
        <v>1131.2</v>
      </c>
      <c r="N14" s="9"/>
      <c r="O14" s="3"/>
      <c r="P14" s="10"/>
    </row>
    <row r="15" spans="1:16" x14ac:dyDescent="0.25">
      <c r="A15">
        <v>11</v>
      </c>
      <c r="B15" s="9">
        <f>Figure30p3!C12</f>
        <v>39203</v>
      </c>
      <c r="C15" s="4">
        <f>Figure30p3!D12</f>
        <v>26</v>
      </c>
      <c r="D15" s="10">
        <f t="shared" si="2"/>
        <v>1069.9166666666667</v>
      </c>
      <c r="E15" s="10">
        <f t="shared" si="3"/>
        <v>1070.5833333333335</v>
      </c>
      <c r="F15" s="6">
        <f t="shared" si="4"/>
        <v>2.4285825484548919E-2</v>
      </c>
      <c r="G15" s="6">
        <f t="shared" si="7"/>
        <v>2.8701720212177342E-2</v>
      </c>
      <c r="H15" s="6">
        <f t="shared" si="5"/>
        <v>2.8771186694965888E-2</v>
      </c>
      <c r="I15" s="6">
        <f t="shared" si="6"/>
        <v>3.8483474828016243E-2</v>
      </c>
      <c r="J15" s="10">
        <f t="shared" si="1"/>
        <v>675.6</v>
      </c>
      <c r="N15" s="9"/>
      <c r="O15" s="3"/>
      <c r="P15" s="10"/>
    </row>
    <row r="16" spans="1:16" x14ac:dyDescent="0.25">
      <c r="A16">
        <v>12</v>
      </c>
      <c r="B16" s="9">
        <f>Figure30p3!C13</f>
        <v>39234</v>
      </c>
      <c r="C16" s="4">
        <f>Figure30p3!D13</f>
        <v>2609</v>
      </c>
      <c r="D16" s="10">
        <f t="shared" si="2"/>
        <v>1071.25</v>
      </c>
      <c r="E16" s="10">
        <f t="shared" si="3"/>
        <v>1073.2916666666665</v>
      </c>
      <c r="F16" s="6">
        <f t="shared" si="4"/>
        <v>2.4308397065103464</v>
      </c>
      <c r="G16" s="6">
        <f t="shared" si="7"/>
        <v>2.9744310150888755</v>
      </c>
      <c r="H16" s="6">
        <f t="shared" si="5"/>
        <v>2.9816300003548433</v>
      </c>
      <c r="I16" s="6">
        <f t="shared" si="6"/>
        <v>2.9618137003512945</v>
      </c>
      <c r="J16" s="10">
        <f t="shared" si="1"/>
        <v>880.9</v>
      </c>
      <c r="N16" s="9"/>
      <c r="O16" s="3"/>
      <c r="P16" s="10"/>
    </row>
    <row r="17" spans="1:16" x14ac:dyDescent="0.25">
      <c r="A17">
        <v>13</v>
      </c>
      <c r="B17" s="9">
        <f>Figure30p3!C14</f>
        <v>39264</v>
      </c>
      <c r="C17" s="4">
        <f>Figure30p3!D14</f>
        <v>3416</v>
      </c>
      <c r="D17" s="10">
        <f t="shared" si="2"/>
        <v>1075.3333333333333</v>
      </c>
      <c r="E17" s="10">
        <f t="shared" si="3"/>
        <v>1077.7916666666665</v>
      </c>
      <c r="F17" s="6">
        <f t="shared" si="4"/>
        <v>3.1694436927359186</v>
      </c>
      <c r="G17" s="6">
        <f t="shared" si="7"/>
        <v>2.5722464168958847</v>
      </c>
      <c r="H17" s="6">
        <f t="shared" si="5"/>
        <v>2.5784719988514704</v>
      </c>
      <c r="I17" s="6">
        <f t="shared" si="6"/>
        <v>2.5626872788629553</v>
      </c>
      <c r="J17" s="10">
        <f t="shared" si="1"/>
        <v>1333</v>
      </c>
      <c r="N17" s="9"/>
      <c r="O17" s="3"/>
      <c r="P17" s="10"/>
    </row>
    <row r="18" spans="1:16" x14ac:dyDescent="0.25">
      <c r="A18">
        <v>14</v>
      </c>
      <c r="B18" s="9">
        <f>Figure30p3!C15</f>
        <v>39295</v>
      </c>
      <c r="C18" s="4">
        <f>Figure30p3!D15</f>
        <v>10</v>
      </c>
      <c r="D18" s="10">
        <f t="shared" si="2"/>
        <v>1080.25</v>
      </c>
      <c r="E18" s="10">
        <f t="shared" si="3"/>
        <v>1080.2916666666665</v>
      </c>
      <c r="F18" s="6">
        <f t="shared" si="4"/>
        <v>9.256759362826399E-3</v>
      </c>
      <c r="G18" s="6">
        <f t="shared" si="7"/>
        <v>7.5168988838845277E-2</v>
      </c>
      <c r="H18" s="6">
        <f t="shared" si="5"/>
        <v>7.5350919581351455E-2</v>
      </c>
      <c r="I18" s="6">
        <f t="shared" si="6"/>
        <v>8.4597410385537947E-2</v>
      </c>
      <c r="J18" s="10">
        <f t="shared" si="1"/>
        <v>118.2</v>
      </c>
      <c r="N18" s="9"/>
      <c r="O18" s="3"/>
      <c r="P18" s="10"/>
    </row>
    <row r="19" spans="1:16" x14ac:dyDescent="0.25">
      <c r="A19">
        <v>15</v>
      </c>
      <c r="B19" s="9">
        <f>Figure30p3!C16</f>
        <v>39326</v>
      </c>
      <c r="C19" s="4">
        <f>Figure30p3!D16</f>
        <v>356</v>
      </c>
      <c r="D19" s="10">
        <f t="shared" si="2"/>
        <v>1080.3333333333333</v>
      </c>
      <c r="E19" s="10">
        <f t="shared" si="3"/>
        <v>1082.4166666666665</v>
      </c>
      <c r="F19" s="6">
        <f t="shared" si="4"/>
        <v>0.32889367926707219</v>
      </c>
      <c r="G19" s="6">
        <f t="shared" si="7"/>
        <v>0.55072212478899374</v>
      </c>
      <c r="H19" s="6">
        <f t="shared" si="5"/>
        <v>0.55205503197086692</v>
      </c>
      <c r="I19" s="6">
        <f t="shared" si="6"/>
        <v>0.55653448165115826</v>
      </c>
      <c r="J19" s="10">
        <f t="shared" si="1"/>
        <v>639.70000000000005</v>
      </c>
      <c r="N19" s="9"/>
      <c r="O19" s="3"/>
      <c r="P19" s="10"/>
    </row>
    <row r="20" spans="1:16" x14ac:dyDescent="0.25">
      <c r="A20">
        <v>16</v>
      </c>
      <c r="B20" s="9">
        <f>Figure30p3!C17</f>
        <v>39356</v>
      </c>
      <c r="C20" s="4">
        <f>Figure30p3!D17</f>
        <v>278</v>
      </c>
      <c r="D20" s="10">
        <f t="shared" si="2"/>
        <v>1084.5</v>
      </c>
      <c r="E20" s="10">
        <f t="shared" si="3"/>
        <v>1081.5</v>
      </c>
      <c r="F20" s="6">
        <f t="shared" si="4"/>
        <v>0.25705039297272309</v>
      </c>
      <c r="G20" s="6">
        <f t="shared" si="7"/>
        <v>0.36197188257707175</v>
      </c>
      <c r="H20" s="6">
        <f t="shared" si="5"/>
        <v>0.36284795945905285</v>
      </c>
      <c r="I20" s="6">
        <f t="shared" si="6"/>
        <v>0.36921947986446235</v>
      </c>
      <c r="J20" s="10">
        <f t="shared" si="1"/>
        <v>752.9</v>
      </c>
      <c r="N20" s="9"/>
      <c r="O20" s="3"/>
      <c r="P20" s="10"/>
    </row>
    <row r="21" spans="1:16" x14ac:dyDescent="0.25">
      <c r="A21">
        <v>17</v>
      </c>
      <c r="B21" s="9">
        <f>Figure30p3!C18</f>
        <v>39387</v>
      </c>
      <c r="C21" s="4">
        <f>Figure30p3!D18</f>
        <v>50</v>
      </c>
      <c r="D21" s="10">
        <f t="shared" si="2"/>
        <v>1078.5</v>
      </c>
      <c r="E21" s="10">
        <f t="shared" si="3"/>
        <v>1078.7916666666665</v>
      </c>
      <c r="F21" s="6">
        <f t="shared" si="4"/>
        <v>4.6348151867444294E-2</v>
      </c>
      <c r="G21" s="6">
        <f t="shared" si="7"/>
        <v>5.0538004384771219E-2</v>
      </c>
      <c r="H21" s="6">
        <f t="shared" si="5"/>
        <v>5.0660321005022879E-2</v>
      </c>
      <c r="I21" s="6">
        <f t="shared" si="6"/>
        <v>6.015371779497266E-2</v>
      </c>
      <c r="J21" s="10">
        <f t="shared" si="1"/>
        <v>831.2</v>
      </c>
      <c r="N21" s="9"/>
      <c r="O21" s="3"/>
      <c r="P21" s="10"/>
    </row>
    <row r="22" spans="1:16" x14ac:dyDescent="0.25">
      <c r="A22">
        <v>18</v>
      </c>
      <c r="B22" s="9">
        <f>Figure30p3!C19</f>
        <v>39417</v>
      </c>
      <c r="C22" s="4">
        <f>Figure30p3!D19</f>
        <v>3256</v>
      </c>
      <c r="D22" s="10">
        <f t="shared" si="2"/>
        <v>1079.0833333333333</v>
      </c>
      <c r="E22" s="10">
        <f t="shared" si="3"/>
        <v>1080.8333333333333</v>
      </c>
      <c r="F22" s="6">
        <f t="shared" si="4"/>
        <v>3.0124903623747112</v>
      </c>
      <c r="G22" s="6">
        <f t="shared" si="7"/>
        <v>2.5589600478011145</v>
      </c>
      <c r="H22" s="6">
        <f t="shared" si="5"/>
        <v>2.5651534728921215</v>
      </c>
      <c r="I22" s="6">
        <f t="shared" si="6"/>
        <v>2.5495019381631998</v>
      </c>
      <c r="J22" s="10">
        <f t="shared" si="1"/>
        <v>1277.0999999999999</v>
      </c>
      <c r="N22" s="9"/>
      <c r="O22" s="3"/>
      <c r="P22" s="10"/>
    </row>
    <row r="23" spans="1:16" x14ac:dyDescent="0.25">
      <c r="A23">
        <v>19</v>
      </c>
      <c r="B23" s="9">
        <f>Figure30p3!C20</f>
        <v>39083</v>
      </c>
      <c r="C23" s="4">
        <f>Figure30p3!D20</f>
        <v>2044</v>
      </c>
      <c r="D23" s="10">
        <f t="shared" si="2"/>
        <v>1082.5833333333333</v>
      </c>
      <c r="E23" s="10">
        <f t="shared" si="3"/>
        <v>1100.0416666666665</v>
      </c>
      <c r="F23" s="6">
        <f t="shared" si="4"/>
        <v>1.8581114351729104</v>
      </c>
      <c r="G23" s="6"/>
      <c r="H23" s="6"/>
      <c r="I23" s="6">
        <f>I11</f>
        <v>1.8424711905657793</v>
      </c>
      <c r="J23" s="10">
        <f t="shared" si="1"/>
        <v>1109.4000000000001</v>
      </c>
      <c r="N23" s="9"/>
      <c r="O23" s="3"/>
      <c r="P23" s="10"/>
    </row>
    <row r="24" spans="1:16" x14ac:dyDescent="0.25">
      <c r="A24">
        <v>20</v>
      </c>
      <c r="B24" s="9">
        <f>Figure30p3!C21</f>
        <v>39114</v>
      </c>
      <c r="C24" s="4">
        <f>Figure30p3!D21</f>
        <v>57</v>
      </c>
      <c r="D24" s="10">
        <f t="shared" si="2"/>
        <v>1117.5</v>
      </c>
      <c r="E24" s="10">
        <f t="shared" si="3"/>
        <v>1122.625</v>
      </c>
      <c r="F24" s="6">
        <f t="shared" si="4"/>
        <v>5.0773855918049213E-2</v>
      </c>
      <c r="I24" s="6">
        <f t="shared" ref="I24:I86" si="8">I12</f>
        <v>8.2502356250862177E-2</v>
      </c>
      <c r="J24" s="10">
        <f t="shared" si="1"/>
        <v>690.9</v>
      </c>
      <c r="N24" s="9"/>
      <c r="O24" s="3"/>
      <c r="P24" s="10"/>
    </row>
    <row r="25" spans="1:16" x14ac:dyDescent="0.25">
      <c r="A25">
        <v>21</v>
      </c>
      <c r="B25" s="9">
        <f>Figure30p3!C22</f>
        <v>39142</v>
      </c>
      <c r="C25" s="4">
        <f>Figure30p3!D22</f>
        <v>604</v>
      </c>
      <c r="D25" s="10">
        <f t="shared" si="2"/>
        <v>1127.75</v>
      </c>
      <c r="E25" s="10">
        <f t="shared" si="3"/>
        <v>1139.6666666666665</v>
      </c>
      <c r="F25" s="6">
        <f t="shared" si="4"/>
        <v>0.52997952617724486</v>
      </c>
      <c r="I25" s="6">
        <f t="shared" si="8"/>
        <v>0.61976295069891196</v>
      </c>
      <c r="J25" s="10">
        <f t="shared" si="1"/>
        <v>974.6</v>
      </c>
      <c r="N25" s="9"/>
      <c r="O25" s="3"/>
      <c r="P25" s="10"/>
    </row>
    <row r="26" spans="1:16" x14ac:dyDescent="0.25">
      <c r="A26">
        <v>22</v>
      </c>
      <c r="B26" s="9">
        <f>Figure30p3!C23</f>
        <v>39539</v>
      </c>
      <c r="C26" s="4">
        <f>Figure30p3!D23</f>
        <v>236</v>
      </c>
      <c r="D26" s="10">
        <f t="shared" si="2"/>
        <v>1151.5833333333333</v>
      </c>
      <c r="E26" s="10">
        <f t="shared" si="3"/>
        <v>1150.3333333333333</v>
      </c>
      <c r="F26" s="6">
        <f t="shared" si="4"/>
        <v>0.20515792523906115</v>
      </c>
      <c r="I26" s="6">
        <f t="shared" si="8"/>
        <v>0.27227202058284772</v>
      </c>
      <c r="J26" s="10">
        <f t="shared" si="1"/>
        <v>866.8</v>
      </c>
      <c r="N26" s="9"/>
      <c r="O26" s="3"/>
      <c r="P26" s="10"/>
    </row>
    <row r="27" spans="1:16" x14ac:dyDescent="0.25">
      <c r="A27">
        <v>23</v>
      </c>
      <c r="B27" s="9">
        <f>Figure30p3!C24</f>
        <v>39569</v>
      </c>
      <c r="C27" s="4">
        <f>Figure30p3!D24</f>
        <v>33</v>
      </c>
      <c r="D27" s="10">
        <f t="shared" si="2"/>
        <v>1149.0833333333333</v>
      </c>
      <c r="E27" s="10">
        <f t="shared" si="3"/>
        <v>1147.25</v>
      </c>
      <c r="F27" s="6">
        <f t="shared" si="4"/>
        <v>2.8764436696448029E-2</v>
      </c>
      <c r="I27" s="6">
        <f t="shared" si="8"/>
        <v>3.8483474828016243E-2</v>
      </c>
      <c r="J27" s="10">
        <f t="shared" si="1"/>
        <v>857.5</v>
      </c>
      <c r="N27" s="9"/>
      <c r="O27" s="3"/>
      <c r="P27" s="10"/>
    </row>
    <row r="28" spans="1:16" x14ac:dyDescent="0.25">
      <c r="A28">
        <v>24</v>
      </c>
      <c r="B28" s="9">
        <f>Figure30p3!C25</f>
        <v>39600</v>
      </c>
      <c r="C28" s="4">
        <f>Figure30p3!D25</f>
        <v>2651</v>
      </c>
      <c r="D28" s="10">
        <f t="shared" si="2"/>
        <v>1145.4166666666667</v>
      </c>
      <c r="E28" s="10">
        <f t="shared" si="3"/>
        <v>1071.9166666666667</v>
      </c>
      <c r="F28" s="6">
        <f t="shared" si="4"/>
        <v>2.4731400139936248</v>
      </c>
      <c r="I28" s="6">
        <f t="shared" si="8"/>
        <v>2.9618137003512945</v>
      </c>
      <c r="J28" s="10">
        <f t="shared" si="1"/>
        <v>895.1</v>
      </c>
      <c r="N28" s="9"/>
      <c r="O28" s="3"/>
      <c r="P28" s="10"/>
    </row>
    <row r="29" spans="1:16" x14ac:dyDescent="0.25">
      <c r="A29">
        <v>25</v>
      </c>
      <c r="B29" s="9">
        <f>Figure30p3!C26</f>
        <v>39630</v>
      </c>
      <c r="C29" s="4">
        <f>Figure30p3!D26</f>
        <v>3835</v>
      </c>
      <c r="D29" s="10">
        <f t="shared" si="2"/>
        <v>998.41666666666663</v>
      </c>
      <c r="E29" s="10">
        <f t="shared" si="3"/>
        <v>1063.3333333333333</v>
      </c>
      <c r="F29" s="6">
        <f t="shared" si="4"/>
        <v>3.6065830721003138</v>
      </c>
      <c r="I29" s="6">
        <f t="shared" si="8"/>
        <v>2.5626872788629553</v>
      </c>
      <c r="J29" s="10">
        <f t="shared" si="1"/>
        <v>1496.5</v>
      </c>
      <c r="N29" s="9"/>
      <c r="O29" s="3"/>
      <c r="P29" s="10"/>
    </row>
    <row r="30" spans="1:16" x14ac:dyDescent="0.25">
      <c r="A30">
        <v>26</v>
      </c>
      <c r="B30" s="9">
        <f>Figure30p3!C27</f>
        <v>39661</v>
      </c>
      <c r="C30" s="4">
        <f>Figure30p3!D27</f>
        <v>133</v>
      </c>
      <c r="D30" s="10">
        <f t="shared" si="2"/>
        <v>1128.25</v>
      </c>
      <c r="E30" s="10">
        <f t="shared" si="3"/>
        <v>1129.25</v>
      </c>
      <c r="F30" s="6">
        <f t="shared" si="4"/>
        <v>0.11777728580916537</v>
      </c>
      <c r="I30" s="6">
        <f t="shared" si="8"/>
        <v>8.4597410385537947E-2</v>
      </c>
      <c r="J30" s="10">
        <f t="shared" si="1"/>
        <v>1572.2</v>
      </c>
      <c r="N30" s="9"/>
      <c r="O30" s="3"/>
      <c r="P30" s="10"/>
    </row>
    <row r="31" spans="1:16" x14ac:dyDescent="0.25">
      <c r="A31">
        <v>27</v>
      </c>
      <c r="B31" s="9">
        <f>Figure30p3!C28</f>
        <v>39692</v>
      </c>
      <c r="C31" s="4">
        <f>Figure30p3!D28</f>
        <v>642</v>
      </c>
      <c r="D31" s="10">
        <f t="shared" si="2"/>
        <v>1130.25</v>
      </c>
      <c r="E31" s="10">
        <f t="shared" si="3"/>
        <v>1139.5</v>
      </c>
      <c r="F31" s="6">
        <f t="shared" si="4"/>
        <v>0.56340500219394474</v>
      </c>
      <c r="I31" s="6">
        <f t="shared" si="8"/>
        <v>0.55653448165115826</v>
      </c>
      <c r="J31" s="10">
        <f t="shared" si="1"/>
        <v>1153.5999999999999</v>
      </c>
      <c r="N31" s="9"/>
      <c r="O31" s="3"/>
      <c r="P31" s="10"/>
    </row>
    <row r="32" spans="1:16" x14ac:dyDescent="0.25">
      <c r="A32">
        <v>28</v>
      </c>
      <c r="B32" s="9">
        <f>Figure30p3!C29</f>
        <v>39722</v>
      </c>
      <c r="C32" s="4">
        <f>Figure30p3!D29</f>
        <v>248</v>
      </c>
      <c r="D32" s="10">
        <f t="shared" si="2"/>
        <v>1148.75</v>
      </c>
      <c r="E32" s="10">
        <f t="shared" si="3"/>
        <v>1153.0416666666665</v>
      </c>
      <c r="F32" s="6">
        <f t="shared" si="4"/>
        <v>0.21508329418566838</v>
      </c>
      <c r="I32" s="6">
        <f t="shared" si="8"/>
        <v>0.36921947986446235</v>
      </c>
      <c r="J32" s="10">
        <f t="shared" si="1"/>
        <v>671.7</v>
      </c>
      <c r="N32" s="9"/>
      <c r="O32" s="3"/>
      <c r="P32" s="10"/>
    </row>
    <row r="33" spans="1:16" x14ac:dyDescent="0.25">
      <c r="A33">
        <v>29</v>
      </c>
      <c r="B33" s="9">
        <f>Figure30p3!C30</f>
        <v>39753</v>
      </c>
      <c r="C33" s="4">
        <f>Figure30p3!D30</f>
        <v>6</v>
      </c>
      <c r="D33" s="10">
        <f t="shared" si="2"/>
        <v>1157.3333333333333</v>
      </c>
      <c r="E33" s="10">
        <f t="shared" si="3"/>
        <v>1156.9583333333333</v>
      </c>
      <c r="F33" s="6">
        <f t="shared" si="4"/>
        <v>5.1860121727230167E-3</v>
      </c>
      <c r="I33" s="6">
        <f t="shared" si="8"/>
        <v>6.015371779497266E-2</v>
      </c>
      <c r="J33" s="10">
        <f t="shared" si="1"/>
        <v>99.7</v>
      </c>
      <c r="N33" s="9"/>
      <c r="O33" s="3"/>
      <c r="P33" s="10"/>
    </row>
    <row r="34" spans="1:16" x14ac:dyDescent="0.25">
      <c r="A34">
        <v>30</v>
      </c>
      <c r="B34" s="9">
        <f>Figure30p3!C31</f>
        <v>39783</v>
      </c>
      <c r="C34" s="4">
        <f>Figure30p3!D31</f>
        <v>1492</v>
      </c>
      <c r="D34" s="10">
        <f t="shared" si="2"/>
        <v>1156.5833333333333</v>
      </c>
      <c r="E34" s="10">
        <f t="shared" si="3"/>
        <v>1236.625</v>
      </c>
      <c r="F34" s="6">
        <f t="shared" si="4"/>
        <v>1.2065096532902051</v>
      </c>
      <c r="I34" s="6">
        <f t="shared" si="8"/>
        <v>2.5495019381631998</v>
      </c>
      <c r="J34" s="10">
        <f t="shared" si="1"/>
        <v>585.20000000000005</v>
      </c>
      <c r="N34" s="9"/>
      <c r="O34" s="3"/>
      <c r="P34" s="10"/>
    </row>
    <row r="35" spans="1:16" x14ac:dyDescent="0.25">
      <c r="A35">
        <v>31</v>
      </c>
      <c r="B35" s="9">
        <f>Figure30p3!C32</f>
        <v>39448</v>
      </c>
      <c r="C35" s="4">
        <f>Figure30p3!D32</f>
        <v>3602</v>
      </c>
      <c r="D35" s="10">
        <f t="shared" si="2"/>
        <v>1316.6666666666667</v>
      </c>
      <c r="E35" s="10">
        <f t="shared" si="3"/>
        <v>1271.625</v>
      </c>
      <c r="F35" s="6">
        <f t="shared" si="4"/>
        <v>2.8325960876830827</v>
      </c>
      <c r="I35" s="6">
        <f t="shared" si="8"/>
        <v>1.8424711905657793</v>
      </c>
      <c r="J35" s="10">
        <f t="shared" si="1"/>
        <v>1955</v>
      </c>
      <c r="N35" s="9"/>
      <c r="O35" s="3"/>
      <c r="P35" s="10"/>
    </row>
    <row r="36" spans="1:16" x14ac:dyDescent="0.25">
      <c r="A36">
        <v>32</v>
      </c>
      <c r="B36" s="9">
        <f>Figure30p3!C33</f>
        <v>39479</v>
      </c>
      <c r="C36" s="4">
        <f>Figure30p3!D33</f>
        <v>81</v>
      </c>
      <c r="D36" s="10">
        <f t="shared" si="2"/>
        <v>1226.5833333333333</v>
      </c>
      <c r="E36" s="10">
        <f t="shared" si="3"/>
        <v>1222.5833333333333</v>
      </c>
      <c r="F36" s="6">
        <f t="shared" si="4"/>
        <v>6.625315247767706E-2</v>
      </c>
      <c r="I36" s="6">
        <f t="shared" si="8"/>
        <v>8.2502356250862177E-2</v>
      </c>
      <c r="J36" s="10">
        <f t="shared" si="1"/>
        <v>981.8</v>
      </c>
      <c r="N36" s="9"/>
      <c r="O36" s="3"/>
      <c r="P36" s="10"/>
    </row>
    <row r="37" spans="1:16" x14ac:dyDescent="0.25">
      <c r="A37">
        <v>33</v>
      </c>
      <c r="B37" s="9">
        <f>Figure30p3!C34</f>
        <v>39508</v>
      </c>
      <c r="C37" s="4">
        <f>Figure30p3!D34</f>
        <v>826</v>
      </c>
      <c r="D37" s="10">
        <f t="shared" si="2"/>
        <v>1218.5833333333333</v>
      </c>
      <c r="E37" s="10">
        <f t="shared" si="3"/>
        <v>1218.8333333333333</v>
      </c>
      <c r="F37" s="6">
        <f t="shared" si="4"/>
        <v>0.67769725146998505</v>
      </c>
      <c r="I37" s="6">
        <f t="shared" si="8"/>
        <v>0.61976295069891196</v>
      </c>
      <c r="J37" s="10">
        <f t="shared" ref="J37:J68" si="9">ROUND(C37/I37,1)</f>
        <v>1332.8</v>
      </c>
      <c r="N37" s="9"/>
      <c r="O37" s="3"/>
      <c r="P37" s="10"/>
    </row>
    <row r="38" spans="1:16" x14ac:dyDescent="0.25">
      <c r="A38">
        <v>34</v>
      </c>
      <c r="B38" s="9">
        <f>Figure30p3!C35</f>
        <v>39904</v>
      </c>
      <c r="C38" s="4">
        <f>Figure30p3!D35</f>
        <v>339</v>
      </c>
      <c r="D38" s="10">
        <f t="shared" si="2"/>
        <v>1219.0833333333333</v>
      </c>
      <c r="E38" s="10">
        <f t="shared" si="3"/>
        <v>1238</v>
      </c>
      <c r="F38" s="6">
        <f t="shared" si="4"/>
        <v>0.27382875605815832</v>
      </c>
      <c r="I38" s="6">
        <f t="shared" si="8"/>
        <v>0.27227202058284772</v>
      </c>
      <c r="J38" s="10">
        <f t="shared" si="9"/>
        <v>1245.0999999999999</v>
      </c>
      <c r="N38" s="9"/>
      <c r="O38" s="3"/>
      <c r="P38" s="10"/>
    </row>
    <row r="39" spans="1:16" x14ac:dyDescent="0.25">
      <c r="A39">
        <v>35</v>
      </c>
      <c r="B39" s="9">
        <f>Figure30p3!C36</f>
        <v>39934</v>
      </c>
      <c r="C39" s="4">
        <f>Figure30p3!D36</f>
        <v>24</v>
      </c>
      <c r="D39" s="10">
        <f t="shared" si="2"/>
        <v>1256.9166666666667</v>
      </c>
      <c r="E39" s="10">
        <f t="shared" si="3"/>
        <v>1259.4583333333335</v>
      </c>
      <c r="F39" s="6">
        <f t="shared" si="4"/>
        <v>1.9055811029873953E-2</v>
      </c>
      <c r="I39" s="6">
        <f t="shared" si="8"/>
        <v>3.8483474828016243E-2</v>
      </c>
      <c r="J39" s="10">
        <f t="shared" si="9"/>
        <v>623.6</v>
      </c>
      <c r="N39" s="9"/>
      <c r="O39" s="3"/>
      <c r="P39" s="10"/>
    </row>
    <row r="40" spans="1:16" x14ac:dyDescent="0.25">
      <c r="A40">
        <v>36</v>
      </c>
      <c r="B40" s="9">
        <f>Figure30p3!C37</f>
        <v>39965</v>
      </c>
      <c r="C40" s="4">
        <f>Figure30p3!D37</f>
        <v>4572</v>
      </c>
      <c r="D40" s="10">
        <f t="shared" si="2"/>
        <v>1262</v>
      </c>
      <c r="E40" s="10">
        <f t="shared" si="3"/>
        <v>1359.25</v>
      </c>
      <c r="F40" s="6">
        <f t="shared" si="4"/>
        <v>3.3636196431855803</v>
      </c>
      <c r="I40" s="6">
        <f t="shared" si="8"/>
        <v>2.9618137003512945</v>
      </c>
      <c r="J40" s="10">
        <f t="shared" si="9"/>
        <v>1543.6</v>
      </c>
      <c r="N40" s="9"/>
      <c r="O40" s="3"/>
      <c r="P40" s="10"/>
    </row>
    <row r="41" spans="1:16" x14ac:dyDescent="0.25">
      <c r="A41">
        <v>37</v>
      </c>
      <c r="B41" s="9">
        <f>Figure30p3!C38</f>
        <v>39995</v>
      </c>
      <c r="C41" s="4">
        <f>Figure30p3!D38</f>
        <v>2754</v>
      </c>
      <c r="D41" s="10">
        <f t="shared" si="2"/>
        <v>1456.5</v>
      </c>
      <c r="E41" s="10">
        <f t="shared" si="3"/>
        <v>1389.4583333333335</v>
      </c>
      <c r="F41" s="6">
        <f t="shared" si="4"/>
        <v>1.9820673523855217</v>
      </c>
      <c r="I41" s="6">
        <f t="shared" si="8"/>
        <v>2.5626872788629553</v>
      </c>
      <c r="J41" s="10">
        <f t="shared" si="9"/>
        <v>1074.7</v>
      </c>
      <c r="N41" s="9"/>
      <c r="O41" s="3"/>
      <c r="P41" s="10"/>
    </row>
    <row r="42" spans="1:16" x14ac:dyDescent="0.25">
      <c r="A42">
        <v>38</v>
      </c>
      <c r="B42" s="9">
        <f>Figure30p3!C39</f>
        <v>40026</v>
      </c>
      <c r="C42" s="4">
        <f>Figure30p3!D39</f>
        <v>37</v>
      </c>
      <c r="D42" s="10">
        <f t="shared" si="2"/>
        <v>1322.4166666666667</v>
      </c>
      <c r="E42" s="10">
        <f t="shared" si="3"/>
        <v>1326.2916666666667</v>
      </c>
      <c r="F42" s="6">
        <f t="shared" si="4"/>
        <v>2.78973327887908E-2</v>
      </c>
      <c r="I42" s="6">
        <f t="shared" si="8"/>
        <v>8.4597410385537947E-2</v>
      </c>
      <c r="J42" s="10">
        <f t="shared" si="9"/>
        <v>437.4</v>
      </c>
      <c r="N42" s="9"/>
      <c r="O42" s="3"/>
      <c r="P42" s="10"/>
    </row>
    <row r="43" spans="1:16" x14ac:dyDescent="0.25">
      <c r="A43">
        <v>39</v>
      </c>
      <c r="B43" s="9">
        <f>Figure30p3!C40</f>
        <v>40057</v>
      </c>
      <c r="C43" s="4">
        <f>Figure30p3!D40</f>
        <v>648</v>
      </c>
      <c r="D43" s="10">
        <f t="shared" ref="D43:D74" si="10">AVERAGE(C37:C48)</f>
        <v>1330.1666666666667</v>
      </c>
      <c r="E43" s="10">
        <f t="shared" ref="E43:E74" si="11">AVERAGE(D43:D44)</f>
        <v>1332.5833333333335</v>
      </c>
      <c r="F43" s="6">
        <f t="shared" ref="F43:F74" si="12">C43/E43</f>
        <v>0.48627352885998371</v>
      </c>
      <c r="I43" s="6">
        <f t="shared" si="8"/>
        <v>0.55653448165115826</v>
      </c>
      <c r="J43" s="10">
        <f t="shared" si="9"/>
        <v>1164.3</v>
      </c>
      <c r="N43" s="9"/>
      <c r="O43" s="3"/>
      <c r="P43" s="10"/>
    </row>
    <row r="44" spans="1:16" x14ac:dyDescent="0.25">
      <c r="A44">
        <v>40</v>
      </c>
      <c r="B44" s="9">
        <f>Figure30p3!C41</f>
        <v>40087</v>
      </c>
      <c r="C44" s="4">
        <f>Figure30p3!D41</f>
        <v>702</v>
      </c>
      <c r="D44" s="10">
        <f t="shared" si="10"/>
        <v>1335</v>
      </c>
      <c r="E44" s="10">
        <f t="shared" si="11"/>
        <v>1336.5416666666665</v>
      </c>
      <c r="F44" s="6">
        <f t="shared" si="12"/>
        <v>0.52523615051282857</v>
      </c>
      <c r="I44" s="6">
        <f t="shared" si="8"/>
        <v>0.36921947986446235</v>
      </c>
      <c r="J44" s="10">
        <f t="shared" si="9"/>
        <v>1901.3</v>
      </c>
      <c r="N44" s="9"/>
      <c r="O44" s="3"/>
      <c r="P44" s="10"/>
    </row>
    <row r="45" spans="1:16" x14ac:dyDescent="0.25">
      <c r="A45">
        <v>41</v>
      </c>
      <c r="B45" s="9">
        <f>Figure30p3!C42</f>
        <v>40118</v>
      </c>
      <c r="C45" s="4">
        <f>Figure30p3!D42</f>
        <v>67</v>
      </c>
      <c r="D45" s="10">
        <f t="shared" si="10"/>
        <v>1338.0833333333333</v>
      </c>
      <c r="E45" s="10">
        <f t="shared" si="11"/>
        <v>1339.0833333333333</v>
      </c>
      <c r="F45" s="6">
        <f t="shared" si="12"/>
        <v>5.0034227394361815E-2</v>
      </c>
      <c r="I45" s="6">
        <f t="shared" si="8"/>
        <v>6.015371779497266E-2</v>
      </c>
      <c r="J45" s="10">
        <f t="shared" si="9"/>
        <v>1113.8</v>
      </c>
      <c r="N45" s="9"/>
      <c r="O45" s="3"/>
      <c r="P45" s="10"/>
    </row>
    <row r="46" spans="1:16" x14ac:dyDescent="0.25">
      <c r="A46">
        <v>42</v>
      </c>
      <c r="B46" s="9">
        <f>Figure30p3!C43</f>
        <v>40148</v>
      </c>
      <c r="C46" s="4">
        <f>Figure30p3!D43</f>
        <v>3826</v>
      </c>
      <c r="D46" s="10">
        <f t="shared" si="10"/>
        <v>1340.0833333333333</v>
      </c>
      <c r="E46" s="10">
        <f t="shared" si="11"/>
        <v>1328.875</v>
      </c>
      <c r="F46" s="6">
        <f t="shared" si="12"/>
        <v>2.8791270811776877</v>
      </c>
      <c r="I46" s="6">
        <f t="shared" si="8"/>
        <v>2.5495019381631998</v>
      </c>
      <c r="J46" s="10">
        <f t="shared" si="9"/>
        <v>1500.7</v>
      </c>
      <c r="N46" s="9"/>
      <c r="O46" s="3"/>
      <c r="P46" s="10"/>
    </row>
    <row r="47" spans="1:16" x14ac:dyDescent="0.25">
      <c r="A47">
        <v>43</v>
      </c>
      <c r="B47" s="9">
        <f>Figure30p3!C44</f>
        <v>39814</v>
      </c>
      <c r="C47" s="4">
        <f>Figure30p3!D44</f>
        <v>1993</v>
      </c>
      <c r="D47" s="10">
        <f t="shared" si="10"/>
        <v>1317.6666666666667</v>
      </c>
      <c r="E47" s="10">
        <f t="shared" si="11"/>
        <v>1333</v>
      </c>
      <c r="F47" s="6">
        <f t="shared" si="12"/>
        <v>1.4951237809452362</v>
      </c>
      <c r="I47" s="6">
        <f t="shared" si="8"/>
        <v>1.8424711905657793</v>
      </c>
      <c r="J47" s="10">
        <f t="shared" si="9"/>
        <v>1081.7</v>
      </c>
      <c r="N47" s="9"/>
      <c r="O47" s="3"/>
      <c r="P47" s="10"/>
    </row>
    <row r="48" spans="1:16" x14ac:dyDescent="0.25">
      <c r="A48">
        <v>44</v>
      </c>
      <c r="B48" s="9">
        <f>Figure30p3!C45</f>
        <v>39845</v>
      </c>
      <c r="C48" s="4">
        <f>Figure30p3!D45</f>
        <v>174</v>
      </c>
      <c r="D48" s="10">
        <f t="shared" si="10"/>
        <v>1348.3333333333333</v>
      </c>
      <c r="E48" s="10">
        <f t="shared" si="11"/>
        <v>1351.375</v>
      </c>
      <c r="F48" s="6">
        <f t="shared" si="12"/>
        <v>0.12875774673943205</v>
      </c>
      <c r="I48" s="6">
        <f t="shared" si="8"/>
        <v>8.2502356250862177E-2</v>
      </c>
      <c r="J48" s="10">
        <f t="shared" si="9"/>
        <v>2109</v>
      </c>
      <c r="N48" s="9"/>
      <c r="O48" s="3"/>
      <c r="P48" s="10"/>
    </row>
    <row r="49" spans="1:16" x14ac:dyDescent="0.25">
      <c r="A49">
        <v>45</v>
      </c>
      <c r="B49" s="9">
        <f>Figure30p3!C46</f>
        <v>39873</v>
      </c>
      <c r="C49" s="4">
        <f>Figure30p3!D46</f>
        <v>884</v>
      </c>
      <c r="D49" s="10">
        <f t="shared" si="10"/>
        <v>1354.4166666666667</v>
      </c>
      <c r="E49" s="10">
        <f t="shared" si="11"/>
        <v>1368.25</v>
      </c>
      <c r="F49" s="6">
        <f t="shared" si="12"/>
        <v>0.64608076009501192</v>
      </c>
      <c r="I49" s="6">
        <f t="shared" si="8"/>
        <v>0.61976295069891196</v>
      </c>
      <c r="J49" s="10">
        <f t="shared" si="9"/>
        <v>1426.4</v>
      </c>
      <c r="N49" s="9"/>
      <c r="O49" s="3"/>
      <c r="P49" s="10"/>
    </row>
    <row r="50" spans="1:16" x14ac:dyDescent="0.25">
      <c r="A50">
        <v>46</v>
      </c>
      <c r="B50" s="9">
        <f>Figure30p3!C47</f>
        <v>40269</v>
      </c>
      <c r="C50" s="4">
        <f>Figure30p3!D47</f>
        <v>376</v>
      </c>
      <c r="D50" s="10">
        <f t="shared" si="10"/>
        <v>1382.0833333333333</v>
      </c>
      <c r="E50" s="10">
        <f t="shared" si="11"/>
        <v>1370.0416666666665</v>
      </c>
      <c r="F50" s="6">
        <f t="shared" si="12"/>
        <v>0.27444420790121959</v>
      </c>
      <c r="I50" s="6">
        <f t="shared" si="8"/>
        <v>0.27227202058284772</v>
      </c>
      <c r="J50" s="10">
        <f t="shared" si="9"/>
        <v>1381</v>
      </c>
      <c r="N50" s="9"/>
      <c r="O50" s="3"/>
      <c r="P50" s="10"/>
    </row>
    <row r="51" spans="1:16" x14ac:dyDescent="0.25">
      <c r="A51">
        <v>47</v>
      </c>
      <c r="B51" s="9">
        <f>Figure30p3!C48</f>
        <v>40299</v>
      </c>
      <c r="C51" s="4">
        <f>Figure30p3!D48</f>
        <v>48</v>
      </c>
      <c r="D51" s="10">
        <f t="shared" si="10"/>
        <v>1358</v>
      </c>
      <c r="E51" s="10">
        <f t="shared" si="11"/>
        <v>1357.5833333333335</v>
      </c>
      <c r="F51" s="6">
        <f t="shared" si="12"/>
        <v>3.5356945552759186E-2</v>
      </c>
      <c r="I51" s="6">
        <f t="shared" si="8"/>
        <v>3.8483474828016243E-2</v>
      </c>
      <c r="J51" s="10">
        <f t="shared" si="9"/>
        <v>1247.3</v>
      </c>
      <c r="N51" s="9"/>
      <c r="O51" s="3"/>
      <c r="P51" s="10"/>
    </row>
    <row r="52" spans="1:16" x14ac:dyDescent="0.25">
      <c r="A52">
        <v>48</v>
      </c>
      <c r="B52" s="9">
        <f>Figure30p3!C49</f>
        <v>40330</v>
      </c>
      <c r="C52" s="4">
        <f>Figure30p3!D49</f>
        <v>4303</v>
      </c>
      <c r="D52" s="10">
        <f t="shared" si="10"/>
        <v>1357.1666666666667</v>
      </c>
      <c r="E52" s="10">
        <f t="shared" si="11"/>
        <v>1357.8333333333335</v>
      </c>
      <c r="F52" s="6">
        <f t="shared" si="12"/>
        <v>3.1690192708972624</v>
      </c>
      <c r="I52" s="6">
        <f t="shared" si="8"/>
        <v>2.9618137003512945</v>
      </c>
      <c r="J52" s="10">
        <f t="shared" si="9"/>
        <v>1452.8</v>
      </c>
      <c r="N52" s="9"/>
      <c r="O52" s="3"/>
      <c r="P52" s="10"/>
    </row>
    <row r="53" spans="1:16" x14ac:dyDescent="0.25">
      <c r="A53">
        <v>49</v>
      </c>
      <c r="B53" s="9">
        <f>Figure30p3!C50</f>
        <v>40360</v>
      </c>
      <c r="C53" s="4">
        <f>Figure30p3!D50</f>
        <v>3122</v>
      </c>
      <c r="D53" s="10">
        <f t="shared" si="10"/>
        <v>1358.5</v>
      </c>
      <c r="E53" s="10">
        <f t="shared" si="11"/>
        <v>1371.4583333333335</v>
      </c>
      <c r="F53" s="6">
        <f t="shared" si="12"/>
        <v>2.2764089320978274</v>
      </c>
      <c r="I53" s="6">
        <f t="shared" si="8"/>
        <v>2.5626872788629553</v>
      </c>
      <c r="J53" s="10">
        <f t="shared" si="9"/>
        <v>1218.3</v>
      </c>
      <c r="N53" s="9"/>
      <c r="O53" s="3"/>
      <c r="P53" s="10"/>
    </row>
    <row r="54" spans="1:16" x14ac:dyDescent="0.25">
      <c r="A54">
        <v>50</v>
      </c>
      <c r="B54" s="9">
        <f>Figure30p3!C51</f>
        <v>40391</v>
      </c>
      <c r="C54" s="4">
        <f>Figure30p3!D51</f>
        <v>110</v>
      </c>
      <c r="D54" s="10">
        <f t="shared" si="10"/>
        <v>1384.4166666666667</v>
      </c>
      <c r="E54" s="10">
        <f t="shared" si="11"/>
        <v>1381.2916666666667</v>
      </c>
      <c r="F54" s="6">
        <f t="shared" si="12"/>
        <v>7.9635606769026576E-2</v>
      </c>
      <c r="I54" s="6">
        <f t="shared" si="8"/>
        <v>8.4597410385537947E-2</v>
      </c>
      <c r="J54" s="10">
        <f t="shared" si="9"/>
        <v>1300.3</v>
      </c>
      <c r="N54" s="9"/>
      <c r="O54" s="3"/>
      <c r="P54" s="10"/>
    </row>
    <row r="55" spans="1:16" x14ac:dyDescent="0.25">
      <c r="A55">
        <v>51</v>
      </c>
      <c r="B55" s="9">
        <f>Figure30p3!C52</f>
        <v>40422</v>
      </c>
      <c r="C55" s="4">
        <f>Figure30p3!D52</f>
        <v>980</v>
      </c>
      <c r="D55" s="10">
        <f t="shared" si="10"/>
        <v>1378.1666666666667</v>
      </c>
      <c r="E55" s="10">
        <f t="shared" si="11"/>
        <v>1380.4166666666667</v>
      </c>
      <c r="F55" s="6">
        <f t="shared" si="12"/>
        <v>0.70993057651675218</v>
      </c>
      <c r="I55" s="6">
        <f t="shared" si="8"/>
        <v>0.55653448165115826</v>
      </c>
      <c r="J55" s="10">
        <f t="shared" si="9"/>
        <v>1760.9</v>
      </c>
      <c r="N55" s="9"/>
      <c r="O55" s="3"/>
      <c r="P55" s="10"/>
    </row>
    <row r="56" spans="1:16" x14ac:dyDescent="0.25">
      <c r="A56">
        <v>52</v>
      </c>
      <c r="B56" s="9">
        <f>Figure30p3!C53</f>
        <v>40452</v>
      </c>
      <c r="C56" s="4">
        <f>Figure30p3!D53</f>
        <v>413</v>
      </c>
      <c r="D56" s="10">
        <f t="shared" si="10"/>
        <v>1382.6666666666667</v>
      </c>
      <c r="E56" s="10">
        <f t="shared" si="11"/>
        <v>1382.5</v>
      </c>
      <c r="F56" s="6">
        <f t="shared" si="12"/>
        <v>0.29873417721518986</v>
      </c>
      <c r="I56" s="6">
        <f t="shared" si="8"/>
        <v>0.36921947986446235</v>
      </c>
      <c r="J56" s="10">
        <f t="shared" si="9"/>
        <v>1118.5999999999999</v>
      </c>
      <c r="N56" s="9"/>
      <c r="O56" s="3"/>
      <c r="P56" s="10"/>
    </row>
    <row r="57" spans="1:16" x14ac:dyDescent="0.25">
      <c r="A57">
        <v>53</v>
      </c>
      <c r="B57" s="9">
        <f>Figure30p3!C54</f>
        <v>40483</v>
      </c>
      <c r="C57" s="4">
        <f>Figure30p3!D54</f>
        <v>57</v>
      </c>
      <c r="D57" s="10">
        <f t="shared" si="10"/>
        <v>1382.3333333333333</v>
      </c>
      <c r="E57" s="10">
        <f t="shared" si="11"/>
        <v>1382.4166666666665</v>
      </c>
      <c r="F57" s="6">
        <f t="shared" si="12"/>
        <v>4.1232141780698055E-2</v>
      </c>
      <c r="I57" s="6">
        <f t="shared" si="8"/>
        <v>6.015371779497266E-2</v>
      </c>
      <c r="J57" s="10">
        <f t="shared" si="9"/>
        <v>947.6</v>
      </c>
      <c r="N57" s="9"/>
      <c r="O57" s="3"/>
      <c r="P57" s="10"/>
    </row>
    <row r="58" spans="1:16" x14ac:dyDescent="0.25">
      <c r="A58">
        <v>54</v>
      </c>
      <c r="B58" s="9">
        <f>Figure30p3!C55</f>
        <v>40513</v>
      </c>
      <c r="C58" s="4">
        <f>Figure30p3!D55</f>
        <v>3842</v>
      </c>
      <c r="D58" s="10">
        <f t="shared" si="10"/>
        <v>1382.5</v>
      </c>
      <c r="E58" s="10">
        <f t="shared" si="11"/>
        <v>1387.375</v>
      </c>
      <c r="F58" s="6">
        <f t="shared" si="12"/>
        <v>2.7692584917560139</v>
      </c>
      <c r="I58" s="6">
        <f t="shared" si="8"/>
        <v>2.5495019381631998</v>
      </c>
      <c r="J58" s="10">
        <f t="shared" si="9"/>
        <v>1507</v>
      </c>
      <c r="N58" s="9"/>
      <c r="O58" s="3"/>
      <c r="P58" s="10"/>
    </row>
    <row r="59" spans="1:16" x14ac:dyDescent="0.25">
      <c r="A59">
        <v>55</v>
      </c>
      <c r="B59" s="9">
        <f>Figure30p3!C56</f>
        <v>40179</v>
      </c>
      <c r="C59" s="4">
        <f>Figure30p3!D56</f>
        <v>2304</v>
      </c>
      <c r="D59" s="10">
        <f t="shared" si="10"/>
        <v>1392.25</v>
      </c>
      <c r="E59" s="10">
        <f t="shared" si="11"/>
        <v>1406.125</v>
      </c>
      <c r="F59" s="6">
        <f t="shared" si="12"/>
        <v>1.6385456485020891</v>
      </c>
      <c r="I59" s="6">
        <f t="shared" si="8"/>
        <v>1.8424711905657793</v>
      </c>
      <c r="J59" s="10">
        <f t="shared" si="9"/>
        <v>1250.5</v>
      </c>
      <c r="N59" s="9"/>
      <c r="O59" s="3"/>
      <c r="P59" s="10"/>
    </row>
    <row r="60" spans="1:16" x14ac:dyDescent="0.25">
      <c r="A60">
        <v>56</v>
      </c>
      <c r="B60" s="9">
        <f>Figure30p3!C57</f>
        <v>40210</v>
      </c>
      <c r="C60" s="4">
        <f>Figure30p3!D57</f>
        <v>99</v>
      </c>
      <c r="D60" s="10">
        <f t="shared" si="10"/>
        <v>1420</v>
      </c>
      <c r="E60" s="10">
        <f t="shared" si="11"/>
        <v>1420.7083333333335</v>
      </c>
      <c r="F60" s="6">
        <f t="shared" si="12"/>
        <v>6.9683549872422784E-2</v>
      </c>
      <c r="I60" s="6">
        <f t="shared" si="8"/>
        <v>8.2502356250862177E-2</v>
      </c>
      <c r="J60" s="10">
        <f t="shared" si="9"/>
        <v>1200</v>
      </c>
      <c r="N60" s="9"/>
      <c r="O60" s="3"/>
      <c r="P60" s="10"/>
    </row>
    <row r="61" spans="1:16" x14ac:dyDescent="0.25">
      <c r="A61">
        <v>57</v>
      </c>
      <c r="B61" s="9">
        <f>Figure30p3!C58</f>
        <v>40238</v>
      </c>
      <c r="C61" s="4">
        <f>Figure30p3!D58</f>
        <v>938</v>
      </c>
      <c r="D61" s="10">
        <f t="shared" si="10"/>
        <v>1421.4166666666667</v>
      </c>
      <c r="E61" s="10">
        <f t="shared" si="11"/>
        <v>1423.25</v>
      </c>
      <c r="F61" s="6">
        <f t="shared" si="12"/>
        <v>0.65905497979975414</v>
      </c>
      <c r="I61" s="6">
        <f t="shared" si="8"/>
        <v>0.61976295069891196</v>
      </c>
      <c r="J61" s="10">
        <f t="shared" si="9"/>
        <v>1513.5</v>
      </c>
      <c r="N61" s="9"/>
      <c r="O61" s="3"/>
      <c r="P61" s="10"/>
    </row>
    <row r="62" spans="1:16" x14ac:dyDescent="0.25">
      <c r="A62">
        <v>58</v>
      </c>
      <c r="B62" s="9">
        <f>Figure30p3!C59</f>
        <v>40634</v>
      </c>
      <c r="C62" s="4">
        <f>Figure30p3!D59</f>
        <v>372</v>
      </c>
      <c r="D62" s="10">
        <f t="shared" si="10"/>
        <v>1425.0833333333333</v>
      </c>
      <c r="E62" s="10">
        <f t="shared" si="11"/>
        <v>1430.0416666666665</v>
      </c>
      <c r="F62" s="6">
        <f t="shared" si="12"/>
        <v>0.26013228052795667</v>
      </c>
      <c r="I62" s="6">
        <f t="shared" si="8"/>
        <v>0.27227202058284772</v>
      </c>
      <c r="J62" s="10">
        <f t="shared" si="9"/>
        <v>1366.3</v>
      </c>
      <c r="N62" s="9"/>
      <c r="O62" s="3"/>
      <c r="P62" s="10"/>
    </row>
    <row r="63" spans="1:16" x14ac:dyDescent="0.25">
      <c r="A63">
        <v>59</v>
      </c>
      <c r="B63" s="9">
        <f>Figure30p3!C60</f>
        <v>40664</v>
      </c>
      <c r="C63" s="4">
        <f>Figure30p3!D60</f>
        <v>50</v>
      </c>
      <c r="D63" s="10">
        <f t="shared" si="10"/>
        <v>1435</v>
      </c>
      <c r="E63" s="10">
        <f t="shared" si="11"/>
        <v>1439.375</v>
      </c>
      <c r="F63" s="6">
        <f t="shared" si="12"/>
        <v>3.4737299174989147E-2</v>
      </c>
      <c r="I63" s="6">
        <f t="shared" si="8"/>
        <v>3.8483474828016243E-2</v>
      </c>
      <c r="J63" s="10">
        <f t="shared" si="9"/>
        <v>1299.3</v>
      </c>
      <c r="N63" s="9"/>
      <c r="O63" s="3"/>
      <c r="P63" s="10"/>
    </row>
    <row r="64" spans="1:16" x14ac:dyDescent="0.25">
      <c r="A64">
        <v>60</v>
      </c>
      <c r="B64" s="9">
        <f>Figure30p3!C61</f>
        <v>40695</v>
      </c>
      <c r="C64" s="4">
        <f>Figure30p3!D61</f>
        <v>4420</v>
      </c>
      <c r="D64" s="10">
        <f t="shared" si="10"/>
        <v>1443.75</v>
      </c>
      <c r="E64" s="10">
        <f t="shared" si="11"/>
        <v>1466.625</v>
      </c>
      <c r="F64" s="6">
        <f t="shared" si="12"/>
        <v>3.0137219807380893</v>
      </c>
      <c r="I64" s="6">
        <f t="shared" si="8"/>
        <v>2.9618137003512945</v>
      </c>
      <c r="J64" s="10">
        <f t="shared" si="9"/>
        <v>1492.3</v>
      </c>
      <c r="N64" s="9"/>
      <c r="O64" s="3"/>
      <c r="P64" s="10"/>
    </row>
    <row r="65" spans="1:16" x14ac:dyDescent="0.25">
      <c r="A65">
        <v>61</v>
      </c>
      <c r="B65" s="9">
        <f>Figure30p3!C62</f>
        <v>40725</v>
      </c>
      <c r="C65" s="4">
        <f>Figure30p3!D62</f>
        <v>3455</v>
      </c>
      <c r="D65" s="10">
        <f t="shared" si="10"/>
        <v>1489.5</v>
      </c>
      <c r="E65" s="10">
        <f t="shared" si="11"/>
        <v>1477.7083333333335</v>
      </c>
      <c r="F65" s="6">
        <f t="shared" si="12"/>
        <v>2.3380797969829406</v>
      </c>
      <c r="I65" s="6">
        <f t="shared" si="8"/>
        <v>2.5626872788629553</v>
      </c>
      <c r="J65" s="10">
        <f t="shared" si="9"/>
        <v>1348.2</v>
      </c>
      <c r="N65" s="9"/>
      <c r="O65" s="3"/>
      <c r="P65" s="10"/>
    </row>
    <row r="66" spans="1:16" x14ac:dyDescent="0.25">
      <c r="A66">
        <v>62</v>
      </c>
      <c r="B66" s="9">
        <f>Figure30p3!C63</f>
        <v>40756</v>
      </c>
      <c r="C66" s="4">
        <f>Figure30p3!D63</f>
        <v>127</v>
      </c>
      <c r="D66" s="10">
        <f t="shared" si="10"/>
        <v>1465.9166666666667</v>
      </c>
      <c r="E66" s="10">
        <f t="shared" si="11"/>
        <v>1466.2083333333335</v>
      </c>
      <c r="F66" s="6">
        <f t="shared" si="12"/>
        <v>8.6617977208786834E-2</v>
      </c>
      <c r="I66" s="6">
        <f t="shared" si="8"/>
        <v>8.4597410385537947E-2</v>
      </c>
      <c r="J66" s="10">
        <f t="shared" si="9"/>
        <v>1501.2</v>
      </c>
      <c r="N66" s="9"/>
      <c r="O66" s="3"/>
      <c r="P66" s="10"/>
    </row>
    <row r="67" spans="1:16" x14ac:dyDescent="0.25">
      <c r="A67">
        <v>63</v>
      </c>
      <c r="B67" s="9">
        <f>Figure30p3!C64</f>
        <v>40787</v>
      </c>
      <c r="C67" s="4">
        <f>Figure30p3!D64</f>
        <v>1024</v>
      </c>
      <c r="D67" s="10">
        <f t="shared" si="10"/>
        <v>1466.5</v>
      </c>
      <c r="E67" s="10">
        <f t="shared" si="11"/>
        <v>1468.25</v>
      </c>
      <c r="F67" s="6">
        <f t="shared" si="12"/>
        <v>0.69742891197003232</v>
      </c>
      <c r="I67" s="6">
        <f t="shared" si="8"/>
        <v>0.55653448165115826</v>
      </c>
      <c r="J67" s="10">
        <f t="shared" si="9"/>
        <v>1840</v>
      </c>
      <c r="N67" s="9"/>
      <c r="O67" s="3"/>
      <c r="P67" s="10"/>
    </row>
    <row r="68" spans="1:16" x14ac:dyDescent="0.25">
      <c r="A68">
        <v>64</v>
      </c>
      <c r="B68" s="9">
        <f>Figure30p3!C65</f>
        <v>40817</v>
      </c>
      <c r="C68" s="4">
        <f>Figure30p3!D65</f>
        <v>532</v>
      </c>
      <c r="D68" s="10">
        <f t="shared" si="10"/>
        <v>1470</v>
      </c>
      <c r="E68" s="10">
        <f t="shared" si="11"/>
        <v>1472.2083333333335</v>
      </c>
      <c r="F68" s="6">
        <f t="shared" si="12"/>
        <v>0.36136189964056259</v>
      </c>
      <c r="I68" s="6">
        <f t="shared" si="8"/>
        <v>0.36921947986446235</v>
      </c>
      <c r="J68" s="10">
        <f t="shared" si="9"/>
        <v>1440.9</v>
      </c>
      <c r="N68" s="9"/>
      <c r="O68" s="3"/>
      <c r="P68" s="10"/>
    </row>
    <row r="69" spans="1:16" x14ac:dyDescent="0.25">
      <c r="A69">
        <v>65</v>
      </c>
      <c r="B69" s="9">
        <f>Figure30p3!C66</f>
        <v>40848</v>
      </c>
      <c r="C69" s="4">
        <f>Figure30p3!D66</f>
        <v>162</v>
      </c>
      <c r="D69" s="10">
        <f t="shared" si="10"/>
        <v>1474.4166666666667</v>
      </c>
      <c r="E69" s="10">
        <f t="shared" si="11"/>
        <v>1474.2083333333335</v>
      </c>
      <c r="F69" s="6">
        <f t="shared" si="12"/>
        <v>0.10988948870862891</v>
      </c>
      <c r="I69" s="6">
        <f t="shared" si="8"/>
        <v>6.015371779497266E-2</v>
      </c>
      <c r="J69" s="10">
        <f t="shared" ref="J69:J86" si="13">ROUND(C69/I69,1)</f>
        <v>2693.1</v>
      </c>
      <c r="N69" s="9"/>
      <c r="O69" s="3"/>
      <c r="P69" s="10"/>
    </row>
    <row r="70" spans="1:16" x14ac:dyDescent="0.25">
      <c r="A70">
        <v>66</v>
      </c>
      <c r="B70" s="9">
        <f>Figure30p3!C67</f>
        <v>40878</v>
      </c>
      <c r="C70" s="4">
        <f>Figure30p3!D67</f>
        <v>4391</v>
      </c>
      <c r="D70" s="10">
        <f t="shared" si="10"/>
        <v>1474</v>
      </c>
      <c r="E70" s="10">
        <f t="shared" si="11"/>
        <v>1499.9583333333335</v>
      </c>
      <c r="F70" s="6">
        <f t="shared" si="12"/>
        <v>2.9274146504069556</v>
      </c>
      <c r="I70" s="6">
        <f t="shared" si="8"/>
        <v>2.5495019381631998</v>
      </c>
      <c r="J70" s="10">
        <f t="shared" si="13"/>
        <v>1722.3</v>
      </c>
      <c r="N70" s="9"/>
      <c r="O70" s="3"/>
      <c r="P70" s="10"/>
    </row>
    <row r="71" spans="1:16" x14ac:dyDescent="0.25">
      <c r="A71">
        <v>67</v>
      </c>
      <c r="B71" s="9">
        <f>Figure30p3!C68</f>
        <v>40544</v>
      </c>
      <c r="C71" s="4">
        <f>Figure30p3!D68</f>
        <v>2021</v>
      </c>
      <c r="D71" s="10">
        <f t="shared" si="10"/>
        <v>1525.9166666666667</v>
      </c>
      <c r="E71" s="10">
        <f t="shared" si="11"/>
        <v>1510.75</v>
      </c>
      <c r="F71" s="6">
        <f t="shared" si="12"/>
        <v>1.3377461525732253</v>
      </c>
      <c r="I71" s="6">
        <f t="shared" si="8"/>
        <v>1.8424711905657793</v>
      </c>
      <c r="J71" s="10">
        <f t="shared" si="13"/>
        <v>1096.9000000000001</v>
      </c>
      <c r="N71" s="9"/>
      <c r="O71" s="3"/>
      <c r="P71" s="10"/>
    </row>
    <row r="72" spans="1:16" x14ac:dyDescent="0.25">
      <c r="A72">
        <v>68</v>
      </c>
      <c r="B72" s="9">
        <f>Figure30p3!C69</f>
        <v>40575</v>
      </c>
      <c r="C72" s="4">
        <f>Figure30p3!D69</f>
        <v>106</v>
      </c>
      <c r="D72" s="10">
        <f t="shared" si="10"/>
        <v>1495.5833333333333</v>
      </c>
      <c r="E72" s="10">
        <f t="shared" si="11"/>
        <v>1498.5416666666665</v>
      </c>
      <c r="F72" s="6">
        <f t="shared" si="12"/>
        <v>7.0735437230640907E-2</v>
      </c>
      <c r="I72" s="6">
        <f t="shared" si="8"/>
        <v>8.2502356250862177E-2</v>
      </c>
      <c r="J72" s="10">
        <f t="shared" si="13"/>
        <v>1284.8</v>
      </c>
      <c r="N72" s="9"/>
      <c r="O72" s="3"/>
      <c r="P72" s="10"/>
    </row>
    <row r="73" spans="1:16" x14ac:dyDescent="0.25">
      <c r="A73">
        <v>69</v>
      </c>
      <c r="B73" s="9">
        <f>Figure30p3!C70</f>
        <v>40603</v>
      </c>
      <c r="C73" s="4">
        <f>Figure30p3!D70</f>
        <v>980</v>
      </c>
      <c r="D73" s="10">
        <f t="shared" si="10"/>
        <v>1501.5</v>
      </c>
      <c r="E73" s="10">
        <f t="shared" si="11"/>
        <v>1491.75</v>
      </c>
      <c r="F73" s="6">
        <f t="shared" si="12"/>
        <v>0.65694653929948044</v>
      </c>
      <c r="I73" s="6">
        <f t="shared" si="8"/>
        <v>0.61976295069891196</v>
      </c>
      <c r="J73" s="10">
        <f t="shared" si="13"/>
        <v>1581.2</v>
      </c>
      <c r="N73" s="9"/>
      <c r="O73" s="3"/>
      <c r="P73" s="10"/>
    </row>
    <row r="74" spans="1:16" x14ac:dyDescent="0.25">
      <c r="A74">
        <v>70</v>
      </c>
      <c r="B74" s="9">
        <f>Figure30p3!C71</f>
        <v>41000</v>
      </c>
      <c r="C74" s="4">
        <f>Figure30p3!D71</f>
        <v>425</v>
      </c>
      <c r="D74" s="10">
        <f t="shared" si="10"/>
        <v>1482</v>
      </c>
      <c r="E74" s="10">
        <f t="shared" si="11"/>
        <v>1492.5</v>
      </c>
      <c r="F74" s="6">
        <f t="shared" si="12"/>
        <v>0.28475711892797317</v>
      </c>
      <c r="I74" s="6">
        <f t="shared" si="8"/>
        <v>0.27227202058284772</v>
      </c>
      <c r="J74" s="10">
        <f t="shared" si="13"/>
        <v>1560.9</v>
      </c>
      <c r="N74" s="9"/>
      <c r="O74" s="3"/>
      <c r="P74" s="10"/>
    </row>
    <row r="75" spans="1:16" x14ac:dyDescent="0.25">
      <c r="A75">
        <v>71</v>
      </c>
      <c r="B75" s="9">
        <f>Figure30p3!C72</f>
        <v>41030</v>
      </c>
      <c r="C75" s="4">
        <f>Figure30p3!D72</f>
        <v>45</v>
      </c>
      <c r="D75" s="10">
        <f t="shared" ref="D75:D81" si="14">AVERAGE(C69:C80)</f>
        <v>1503</v>
      </c>
      <c r="E75" s="10">
        <f t="shared" ref="E75:E80" si="15">AVERAGE(D75:D76)</f>
        <v>1499.5</v>
      </c>
      <c r="F75" s="6">
        <f t="shared" ref="F75:F80" si="16">C75/E75</f>
        <v>3.0010003334444816E-2</v>
      </c>
      <c r="I75" s="6">
        <f t="shared" si="8"/>
        <v>3.8483474828016243E-2</v>
      </c>
      <c r="J75" s="10">
        <f t="shared" si="13"/>
        <v>1169.3</v>
      </c>
      <c r="N75" s="9"/>
      <c r="O75" s="3"/>
      <c r="P75" s="10"/>
    </row>
    <row r="76" spans="1:16" x14ac:dyDescent="0.25">
      <c r="A76">
        <v>72</v>
      </c>
      <c r="B76" s="9">
        <f>Figure30p3!C73</f>
        <v>41061</v>
      </c>
      <c r="C76" s="4">
        <f>Figure30p3!D73</f>
        <v>5043</v>
      </c>
      <c r="D76" s="10">
        <f t="shared" si="14"/>
        <v>1496</v>
      </c>
      <c r="E76" s="10">
        <f t="shared" si="15"/>
        <v>1484.875</v>
      </c>
      <c r="F76" s="6">
        <f t="shared" si="16"/>
        <v>3.3962454752083509</v>
      </c>
      <c r="I76" s="6">
        <f t="shared" si="8"/>
        <v>2.9618137003512945</v>
      </c>
      <c r="J76" s="10">
        <f t="shared" si="13"/>
        <v>1702.7</v>
      </c>
      <c r="N76" s="9"/>
      <c r="O76" s="3"/>
      <c r="P76" s="10"/>
    </row>
    <row r="77" spans="1:16" x14ac:dyDescent="0.25">
      <c r="A77">
        <v>73</v>
      </c>
      <c r="B77" s="9">
        <f>Figure30p3!C74</f>
        <v>41091</v>
      </c>
      <c r="C77" s="4">
        <f>Figure30p3!D74</f>
        <v>3091</v>
      </c>
      <c r="D77" s="10">
        <f t="shared" si="14"/>
        <v>1473.75</v>
      </c>
      <c r="E77" s="10">
        <f t="shared" si="15"/>
        <v>1499.8333333333335</v>
      </c>
      <c r="F77" s="6">
        <f t="shared" si="16"/>
        <v>2.0608956550727857</v>
      </c>
      <c r="I77" s="6">
        <f t="shared" si="8"/>
        <v>2.5626872788629553</v>
      </c>
      <c r="J77" s="10">
        <f t="shared" si="13"/>
        <v>1206.2</v>
      </c>
      <c r="N77" s="9"/>
      <c r="O77" s="3"/>
      <c r="P77" s="10"/>
    </row>
    <row r="78" spans="1:16" x14ac:dyDescent="0.25">
      <c r="A78">
        <v>74</v>
      </c>
      <c r="B78" s="9">
        <f>Figure30p3!C75</f>
        <v>41122</v>
      </c>
      <c r="C78" s="4">
        <f>Figure30p3!D75</f>
        <v>198</v>
      </c>
      <c r="D78" s="10">
        <f t="shared" si="14"/>
        <v>1525.9166666666667</v>
      </c>
      <c r="E78" s="10">
        <f t="shared" si="15"/>
        <v>1525.0833333333335</v>
      </c>
      <c r="F78" s="6">
        <f t="shared" si="16"/>
        <v>0.12982897109447569</v>
      </c>
      <c r="I78" s="6">
        <f t="shared" si="8"/>
        <v>8.4597410385537947E-2</v>
      </c>
      <c r="J78" s="10">
        <f t="shared" si="13"/>
        <v>2340.5</v>
      </c>
      <c r="N78" s="9"/>
      <c r="O78" s="3"/>
      <c r="P78" s="10"/>
    </row>
    <row r="79" spans="1:16" x14ac:dyDescent="0.25">
      <c r="A79">
        <v>75</v>
      </c>
      <c r="B79" s="9">
        <f>Figure30p3!C76</f>
        <v>41153</v>
      </c>
      <c r="C79" s="4">
        <f>Figure30p3!D76</f>
        <v>790</v>
      </c>
      <c r="D79" s="10">
        <f t="shared" si="14"/>
        <v>1524.25</v>
      </c>
      <c r="E79" s="10">
        <f t="shared" si="15"/>
        <v>1523.9166666666665</v>
      </c>
      <c r="F79" s="6">
        <f t="shared" si="16"/>
        <v>0.51840104992617708</v>
      </c>
      <c r="I79" s="6">
        <f t="shared" si="8"/>
        <v>0.55653448165115826</v>
      </c>
      <c r="J79" s="10">
        <f t="shared" si="13"/>
        <v>1419.5</v>
      </c>
      <c r="N79" s="9"/>
      <c r="O79" s="3"/>
      <c r="P79" s="10"/>
    </row>
    <row r="80" spans="1:16" x14ac:dyDescent="0.25">
      <c r="A80">
        <v>76</v>
      </c>
      <c r="B80" s="9">
        <f>Figure30p3!C77</f>
        <v>41183</v>
      </c>
      <c r="C80" s="4">
        <f>Figure30p3!D77</f>
        <v>784</v>
      </c>
      <c r="D80" s="10">
        <f t="shared" si="14"/>
        <v>1523.5833333333333</v>
      </c>
      <c r="E80" s="10">
        <f t="shared" si="15"/>
        <v>1524.2083333333333</v>
      </c>
      <c r="F80" s="6">
        <f t="shared" si="16"/>
        <v>0.51436538093545836</v>
      </c>
      <c r="I80" s="6">
        <f t="shared" si="8"/>
        <v>0.36921947986446235</v>
      </c>
      <c r="J80" s="10">
        <f t="shared" si="13"/>
        <v>2123.4</v>
      </c>
      <c r="N80" s="9"/>
      <c r="O80" s="3"/>
      <c r="P80" s="10"/>
    </row>
    <row r="81" spans="1:16" x14ac:dyDescent="0.25">
      <c r="A81">
        <v>77</v>
      </c>
      <c r="B81" s="9">
        <f>Figure30p3!C78</f>
        <v>41214</v>
      </c>
      <c r="C81" s="4">
        <f>Figure30p3!D78</f>
        <v>78</v>
      </c>
      <c r="D81" s="10">
        <f t="shared" si="14"/>
        <v>1524.8333333333333</v>
      </c>
      <c r="E81" s="10"/>
      <c r="F81" s="6"/>
      <c r="I81" s="6">
        <f t="shared" si="8"/>
        <v>6.015371779497266E-2</v>
      </c>
      <c r="J81" s="10">
        <f t="shared" si="13"/>
        <v>1296.7</v>
      </c>
      <c r="N81" s="9"/>
      <c r="O81" s="3"/>
      <c r="P81" s="10"/>
    </row>
    <row r="82" spans="1:16" x14ac:dyDescent="0.25">
      <c r="A82">
        <v>78</v>
      </c>
      <c r="B82" s="9">
        <f>Figure30p3!C79</f>
        <v>41244</v>
      </c>
      <c r="C82" s="4">
        <f>Figure30p3!D79</f>
        <v>4124</v>
      </c>
      <c r="D82" s="10"/>
      <c r="E82" s="10"/>
      <c r="F82" s="6"/>
      <c r="I82" s="6">
        <f t="shared" si="8"/>
        <v>2.5495019381631998</v>
      </c>
      <c r="J82" s="10">
        <f t="shared" si="13"/>
        <v>1617.6</v>
      </c>
      <c r="N82" s="9"/>
      <c r="O82" s="3"/>
      <c r="P82" s="10"/>
    </row>
    <row r="83" spans="1:16" x14ac:dyDescent="0.25">
      <c r="A83">
        <v>79</v>
      </c>
      <c r="B83" s="9">
        <f>Figure30p3!C80</f>
        <v>40909</v>
      </c>
      <c r="C83" s="4">
        <f>Figure30p3!D80</f>
        <v>2647</v>
      </c>
      <c r="D83" s="10"/>
      <c r="E83" s="10"/>
      <c r="F83" s="6"/>
      <c r="I83" s="6">
        <f t="shared" si="8"/>
        <v>1.8424711905657793</v>
      </c>
      <c r="J83" s="10">
        <f t="shared" si="13"/>
        <v>1436.7</v>
      </c>
      <c r="N83" s="9"/>
      <c r="O83" s="3"/>
      <c r="P83" s="10"/>
    </row>
    <row r="84" spans="1:16" x14ac:dyDescent="0.25">
      <c r="A84">
        <v>80</v>
      </c>
      <c r="B84" s="9">
        <f>Figure30p3!C81</f>
        <v>40940</v>
      </c>
      <c r="C84" s="4">
        <f>Figure30p3!D81</f>
        <v>86</v>
      </c>
      <c r="D84" s="10"/>
      <c r="E84" s="10"/>
      <c r="F84" s="6"/>
      <c r="I84" s="6">
        <f t="shared" si="8"/>
        <v>8.2502356250862177E-2</v>
      </c>
      <c r="J84" s="10">
        <f t="shared" si="13"/>
        <v>1042.4000000000001</v>
      </c>
      <c r="N84" s="9"/>
      <c r="O84" s="3"/>
      <c r="P84" s="10"/>
    </row>
    <row r="85" spans="1:16" x14ac:dyDescent="0.25">
      <c r="A85">
        <v>81</v>
      </c>
      <c r="B85" s="9">
        <f>Figure30p3!C82</f>
        <v>40969</v>
      </c>
      <c r="C85" s="4">
        <f>Figure30p3!D82</f>
        <v>972</v>
      </c>
      <c r="D85" s="10"/>
      <c r="E85" s="10"/>
      <c r="F85" s="6"/>
      <c r="I85" s="6">
        <f t="shared" si="8"/>
        <v>0.61976295069891196</v>
      </c>
      <c r="J85" s="10">
        <f t="shared" si="13"/>
        <v>1568.3</v>
      </c>
      <c r="N85" s="9"/>
      <c r="O85" s="3"/>
      <c r="P85" s="10"/>
    </row>
    <row r="86" spans="1:16" x14ac:dyDescent="0.25">
      <c r="A86">
        <v>82</v>
      </c>
      <c r="B86" s="9">
        <f>Figure30p3!C83</f>
        <v>41365</v>
      </c>
      <c r="C86" s="4">
        <f>Figure30p3!D83</f>
        <v>440</v>
      </c>
      <c r="D86" s="10"/>
      <c r="E86" s="10"/>
      <c r="I86" s="6">
        <f t="shared" si="8"/>
        <v>0.27227202058284772</v>
      </c>
      <c r="J86" s="10">
        <f t="shared" si="13"/>
        <v>1616</v>
      </c>
      <c r="N86" s="9"/>
      <c r="O86" s="3"/>
      <c r="P86" s="10"/>
    </row>
    <row r="87" spans="1:16" x14ac:dyDescent="0.25">
      <c r="B87" s="9"/>
      <c r="C87" s="4"/>
      <c r="D87" s="3"/>
      <c r="E87" s="3"/>
      <c r="I87" s="7"/>
      <c r="J87" s="3"/>
    </row>
    <row r="88" spans="1:16" x14ac:dyDescent="0.25">
      <c r="B88" s="9"/>
      <c r="C88" s="4"/>
      <c r="D88" s="3"/>
      <c r="E88" s="3"/>
      <c r="I88" s="7"/>
      <c r="J88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A140"/>
  <sheetViews>
    <sheetView workbookViewId="0">
      <selection activeCell="Q15" sqref="Q15"/>
    </sheetView>
  </sheetViews>
  <sheetFormatPr defaultRowHeight="12.75" x14ac:dyDescent="0.2"/>
  <cols>
    <col min="1" max="4" width="9.140625" style="18"/>
    <col min="5" max="5" width="12.85546875" style="18" bestFit="1" customWidth="1"/>
    <col min="6" max="6" width="9.140625" style="18"/>
    <col min="7" max="7" width="10.5703125" style="18" customWidth="1"/>
    <col min="8" max="10" width="9.140625" style="18"/>
    <col min="11" max="11" width="12.85546875" style="18" bestFit="1" customWidth="1"/>
    <col min="12" max="13" width="9.140625" style="18"/>
    <col min="14" max="14" width="16.140625" style="18" customWidth="1"/>
    <col min="15" max="16" width="9.140625" style="18"/>
    <col min="17" max="17" width="10.7109375" style="18" customWidth="1"/>
    <col min="18" max="19" width="9.140625" style="18"/>
    <col min="20" max="20" width="4.85546875" style="18" customWidth="1"/>
    <col min="21" max="21" width="4" style="18" bestFit="1" customWidth="1"/>
    <col min="22" max="22" width="16" style="18" bestFit="1" customWidth="1"/>
    <col min="23" max="23" width="16" style="18" customWidth="1"/>
    <col min="24" max="24" width="5.140625" style="18" bestFit="1" customWidth="1"/>
    <col min="25" max="25" width="9.140625" style="18"/>
    <col min="26" max="26" width="10.28515625" style="18" bestFit="1" customWidth="1"/>
    <col min="27" max="27" width="11.5703125" style="18" customWidth="1"/>
    <col min="28" max="28" width="17" style="18" bestFit="1" customWidth="1"/>
    <col min="29" max="31" width="9.140625" style="18"/>
    <col min="32" max="32" width="10.28515625" style="18" bestFit="1" customWidth="1"/>
    <col min="33" max="33" width="9.140625" style="18"/>
    <col min="34" max="35" width="16.7109375" style="18" bestFit="1" customWidth="1"/>
    <col min="36" max="36" width="28.85546875" style="18" bestFit="1" customWidth="1"/>
    <col min="37" max="37" width="13.7109375" style="18" customWidth="1"/>
    <col min="38" max="38" width="10.28515625" style="18" customWidth="1"/>
    <col min="39" max="39" width="13.28515625" style="18" customWidth="1"/>
    <col min="40" max="40" width="11.5703125" style="18" bestFit="1" customWidth="1"/>
    <col min="41" max="41" width="13.85546875" style="18" bestFit="1" customWidth="1"/>
    <col min="42" max="42" width="14" style="18" bestFit="1" customWidth="1"/>
    <col min="43" max="43" width="14" style="18" customWidth="1"/>
    <col min="44" max="44" width="12.140625" style="18" bestFit="1" customWidth="1"/>
    <col min="45" max="45" width="12.85546875" style="18" bestFit="1" customWidth="1"/>
    <col min="46" max="46" width="16.7109375" style="18" customWidth="1"/>
    <col min="47" max="47" width="9.140625" style="18"/>
    <col min="48" max="48" width="14.5703125" style="18" bestFit="1" customWidth="1"/>
    <col min="49" max="49" width="9.140625" style="18"/>
    <col min="50" max="50" width="11.5703125" style="18" customWidth="1"/>
    <col min="51" max="51" width="13.7109375" style="18" customWidth="1"/>
    <col min="52" max="52" width="13.140625" style="18" customWidth="1"/>
    <col min="53" max="53" width="12.85546875" style="18" bestFit="1" customWidth="1"/>
    <col min="54" max="16384" width="9.140625" style="18"/>
  </cols>
  <sheetData>
    <row r="5" spans="2:53" x14ac:dyDescent="0.2">
      <c r="AR5" s="18">
        <f>STDEV(AR14:AR41)</f>
        <v>2.8987068008289754</v>
      </c>
    </row>
    <row r="6" spans="2:53" x14ac:dyDescent="0.2">
      <c r="AR6" s="75">
        <f>AVERAGE(AR14:AR41)</f>
        <v>-0.63237704129372263</v>
      </c>
    </row>
    <row r="7" spans="2:53" x14ac:dyDescent="0.2">
      <c r="B7" s="18" t="s">
        <v>99</v>
      </c>
    </row>
    <row r="8" spans="2:53" x14ac:dyDescent="0.2">
      <c r="AH8" s="18" t="s">
        <v>98</v>
      </c>
    </row>
    <row r="9" spans="2:53" x14ac:dyDescent="0.2">
      <c r="AH9" s="18" t="s">
        <v>97</v>
      </c>
    </row>
    <row r="10" spans="2:53" ht="23.25" x14ac:dyDescent="0.2">
      <c r="B10" s="108" t="s">
        <v>96</v>
      </c>
    </row>
    <row r="11" spans="2:53" ht="13.5" thickBot="1" x14ac:dyDescent="0.25">
      <c r="AF11" s="18">
        <v>1000</v>
      </c>
      <c r="AP11" s="18">
        <v>1000</v>
      </c>
    </row>
    <row r="12" spans="2:53" ht="39" thickBot="1" x14ac:dyDescent="0.25">
      <c r="C12" s="107" t="s">
        <v>95</v>
      </c>
      <c r="D12" s="107" t="s">
        <v>94</v>
      </c>
      <c r="E12" s="106">
        <v>1000000</v>
      </c>
      <c r="G12" s="105" t="s">
        <v>93</v>
      </c>
      <c r="V12" s="104">
        <v>365</v>
      </c>
      <c r="W12" s="103"/>
      <c r="X12" s="150" t="s">
        <v>92</v>
      </c>
      <c r="Y12" s="150"/>
      <c r="Z12" s="150"/>
      <c r="AA12" s="150"/>
      <c r="AB12" s="150"/>
    </row>
    <row r="13" spans="2:53" s="93" customFormat="1" ht="64.5" thickBot="1" x14ac:dyDescent="0.25">
      <c r="B13" s="102" t="s">
        <v>0</v>
      </c>
      <c r="C13" s="102" t="s">
        <v>91</v>
      </c>
      <c r="D13" s="102" t="s">
        <v>90</v>
      </c>
      <c r="E13" s="102" t="s">
        <v>89</v>
      </c>
      <c r="F13" s="102" t="s">
        <v>0</v>
      </c>
      <c r="G13" s="102" t="s">
        <v>88</v>
      </c>
      <c r="H13" s="102" t="s">
        <v>87</v>
      </c>
      <c r="J13" s="102" t="s">
        <v>86</v>
      </c>
      <c r="K13" s="102" t="s">
        <v>85</v>
      </c>
      <c r="L13" s="102" t="s">
        <v>84</v>
      </c>
      <c r="N13" s="102" t="s">
        <v>83</v>
      </c>
      <c r="O13" s="102" t="s">
        <v>82</v>
      </c>
      <c r="P13" s="102" t="s">
        <v>81</v>
      </c>
      <c r="Q13" s="102" t="s">
        <v>80</v>
      </c>
      <c r="X13" s="95" t="s">
        <v>0</v>
      </c>
      <c r="Y13" s="94" t="s">
        <v>79</v>
      </c>
      <c r="Z13" s="94" t="s">
        <v>78</v>
      </c>
      <c r="AA13" s="94" t="s">
        <v>77</v>
      </c>
      <c r="AB13" s="94" t="s">
        <v>76</v>
      </c>
      <c r="AD13" s="101" t="str">
        <f>X13</f>
        <v>Year</v>
      </c>
      <c r="AE13" s="100" t="s">
        <v>41</v>
      </c>
      <c r="AF13" s="100" t="s">
        <v>40</v>
      </c>
      <c r="AG13" s="99" t="s">
        <v>75</v>
      </c>
      <c r="AH13" s="94" t="s">
        <v>74</v>
      </c>
      <c r="AI13" s="94" t="s">
        <v>73</v>
      </c>
      <c r="AO13" s="98" t="s">
        <v>0</v>
      </c>
      <c r="AP13" s="97" t="s">
        <v>72</v>
      </c>
      <c r="AQ13" s="97" t="str">
        <f>AR13&amp;"Corrected"</f>
        <v>Differenced Thousand Gallons Per Cap/Lag 1Corrected</v>
      </c>
      <c r="AR13" s="97" t="str">
        <f>"Differenced "&amp;AF13</f>
        <v>Differenced Thousand Gallons Per Cap/Lag 1</v>
      </c>
      <c r="AS13" s="96" t="s">
        <v>70</v>
      </c>
      <c r="AT13" s="94"/>
      <c r="AW13" s="98" t="s">
        <v>0</v>
      </c>
      <c r="AX13" s="134" t="s">
        <v>72</v>
      </c>
      <c r="AY13" s="97" t="s">
        <v>71</v>
      </c>
      <c r="AZ13" s="97" t="s">
        <v>70</v>
      </c>
      <c r="BA13" s="96" t="s">
        <v>69</v>
      </c>
    </row>
    <row r="14" spans="2:53" ht="15" x14ac:dyDescent="0.25">
      <c r="B14" s="78">
        <v>1979</v>
      </c>
      <c r="C14" s="78">
        <v>1512.4</v>
      </c>
      <c r="D14" s="78">
        <v>189</v>
      </c>
      <c r="E14" s="28">
        <f t="shared" ref="E14:E44" si="0">C14*$E$12/D14</f>
        <v>8002116.4021164021</v>
      </c>
      <c r="F14" s="18">
        <v>1979</v>
      </c>
      <c r="G14" s="92">
        <v>7154035</v>
      </c>
      <c r="H14" s="68">
        <f>C14*$E$12/G14</f>
        <v>211.40517204626479</v>
      </c>
      <c r="J14" s="18">
        <v>1574.9</v>
      </c>
      <c r="K14" s="68">
        <f t="shared" ref="K14:K44" si="1">J14*$E$12/G14</f>
        <v>220.14150056576463</v>
      </c>
      <c r="L14" s="68">
        <f t="shared" ref="L14:L44" si="2">K14+H14</f>
        <v>431.5466726120294</v>
      </c>
      <c r="V14" s="77"/>
      <c r="W14" s="77"/>
      <c r="X14" s="77"/>
      <c r="AD14" s="88">
        <f t="shared" ref="AD14:AD42" si="3">X16</f>
        <v>1981</v>
      </c>
      <c r="AE14" s="84">
        <f t="shared" ref="AE14:AE43" si="4">LOG(Y15)</f>
        <v>-3.3730507172339501</v>
      </c>
      <c r="AF14" s="87">
        <f t="shared" ref="AF14:AF43" si="5">Z15/AF$11</f>
        <v>78.061959893597503</v>
      </c>
      <c r="AG14" s="86">
        <f t="shared" ref="AG14:AG42" si="6">LOG(AB16)</f>
        <v>8.4179013424611906</v>
      </c>
      <c r="AH14" s="75">
        <f t="shared" ref="AH14:AH43" si="7">$AE$45+$AF$45*AE14+$AG$45*AF14</f>
        <v>8.4135836146182292</v>
      </c>
      <c r="AI14" s="28">
        <f t="shared" ref="AI14:AI43" si="8">10^AH14</f>
        <v>259169335.14575863</v>
      </c>
      <c r="AJ14" s="66"/>
      <c r="AK14" s="91"/>
      <c r="AO14" s="85">
        <v>1982</v>
      </c>
      <c r="AP14" s="84">
        <f t="shared" ref="AP14:AP42" si="9">(Y16-Y15)*$AF$11</f>
        <v>5.1330511868769142E-2</v>
      </c>
      <c r="AQ14" s="84">
        <f>AR14</f>
        <v>-0.18465704881775311</v>
      </c>
      <c r="AR14" s="84">
        <f>(Z16-Z15)/$AP$11</f>
        <v>-0.18465704881775311</v>
      </c>
      <c r="AS14" s="34">
        <f t="shared" ref="AS14:AS41" si="10">AB17-AB16</f>
        <v>2824143.9999999702</v>
      </c>
      <c r="AT14" s="28"/>
      <c r="AV14" s="89"/>
      <c r="AW14" s="85">
        <f t="shared" ref="AW14:AW40" si="11">AO16</f>
        <v>1984</v>
      </c>
      <c r="AX14" s="84">
        <f t="shared" ref="AX14:AX40" si="12">AP16</f>
        <v>7.9021060458230194E-2</v>
      </c>
      <c r="AY14" s="84">
        <f t="shared" ref="AY14:AY40" si="13">AQ16</f>
        <v>3.1488796646250119</v>
      </c>
      <c r="AZ14" s="135">
        <f t="shared" ref="AZ14:AZ39" si="14">AS16</f>
        <v>25610257.999999881</v>
      </c>
      <c r="BA14" s="136">
        <f t="shared" ref="BA14:BA40" si="15">$AZ$43+$AZ$44*AP16+$AZ$45*AQ16</f>
        <v>69362260.60251233</v>
      </c>
    </row>
    <row r="15" spans="2:53" ht="15" x14ac:dyDescent="0.25">
      <c r="B15" s="78">
        <v>1980</v>
      </c>
      <c r="C15" s="78">
        <v>1505.9</v>
      </c>
      <c r="D15" s="78">
        <v>187.9</v>
      </c>
      <c r="E15" s="28">
        <f t="shared" si="0"/>
        <v>8014369.345396487</v>
      </c>
      <c r="F15" s="18">
        <v>1980</v>
      </c>
      <c r="G15" s="50">
        <v>7071639</v>
      </c>
      <c r="H15" s="68">
        <f t="shared" ref="H15:H44" si="16">C15*E$12/G15</f>
        <v>212.94921870304748</v>
      </c>
      <c r="J15" s="18">
        <v>1574.9</v>
      </c>
      <c r="K15" s="68">
        <f t="shared" si="1"/>
        <v>222.70650410746364</v>
      </c>
      <c r="L15" s="68">
        <f t="shared" si="2"/>
        <v>435.65572281051112</v>
      </c>
      <c r="M15" s="76">
        <f t="shared" ref="M15:M44" si="17">B15</f>
        <v>1980</v>
      </c>
      <c r="N15" s="90">
        <v>233834623</v>
      </c>
      <c r="O15" s="70">
        <f t="shared" ref="O15:O44" si="18">ROUND(N15/G15,2)</f>
        <v>33.07</v>
      </c>
      <c r="P15" s="70">
        <f t="shared" ref="P15:P44" si="19">ROUND(O15/H15,2)</f>
        <v>0.16</v>
      </c>
      <c r="Q15" s="70">
        <f t="shared" ref="Q15:Q44" si="20">ROUND(O15/L15,2)</f>
        <v>0.08</v>
      </c>
      <c r="U15" s="18">
        <v>365</v>
      </c>
      <c r="V15" s="77">
        <f t="shared" ref="V15:V44" si="21">C14*$E$12*U15</f>
        <v>552026000000</v>
      </c>
      <c r="W15" s="77"/>
      <c r="X15" s="76">
        <f t="shared" ref="X15:X44" si="22">M15</f>
        <v>1980</v>
      </c>
      <c r="Y15" s="67">
        <f t="shared" ref="Y15:Y44" si="23">N15/V15</f>
        <v>4.2359349559622193E-4</v>
      </c>
      <c r="Z15" s="68">
        <f t="shared" ref="Z15:Z44" si="24">V15/G15</f>
        <v>78061.959893597508</v>
      </c>
      <c r="AA15" s="50">
        <f t="shared" ref="AA15:AA44" si="25">G15</f>
        <v>7071639</v>
      </c>
      <c r="AB15" s="66">
        <f t="shared" ref="AB15:AB44" si="26">AA15*Z15*Y15</f>
        <v>233834623</v>
      </c>
      <c r="AD15" s="88">
        <f t="shared" si="3"/>
        <v>1982</v>
      </c>
      <c r="AE15" s="84">
        <f t="shared" si="4"/>
        <v>-3.3233758762254357</v>
      </c>
      <c r="AF15" s="87">
        <f t="shared" si="5"/>
        <v>77.877302844779749</v>
      </c>
      <c r="AG15" s="86">
        <f t="shared" si="6"/>
        <v>8.4225618954016177</v>
      </c>
      <c r="AH15" s="75">
        <f t="shared" si="7"/>
        <v>8.4616172922249042</v>
      </c>
      <c r="AI15" s="28">
        <f t="shared" si="8"/>
        <v>289479152.32723558</v>
      </c>
      <c r="AO15" s="85">
        <v>1983</v>
      </c>
      <c r="AP15" s="84">
        <f t="shared" si="9"/>
        <v>7.8719056014500702E-2</v>
      </c>
      <c r="AQ15" s="84">
        <f>AR6-AR5*3</f>
        <v>-9.3284974437806483</v>
      </c>
      <c r="AR15" s="84"/>
      <c r="AS15" s="34">
        <f t="shared" si="10"/>
        <v>54644158.000000089</v>
      </c>
      <c r="AT15" s="28"/>
      <c r="AV15" s="89"/>
      <c r="AW15" s="85">
        <f t="shared" si="11"/>
        <v>1985</v>
      </c>
      <c r="AX15" s="84">
        <f t="shared" si="12"/>
        <v>2.9071136586527331E-2</v>
      </c>
      <c r="AY15" s="84">
        <f t="shared" si="13"/>
        <v>1.8252347741785926</v>
      </c>
      <c r="AZ15" s="135">
        <f t="shared" si="14"/>
        <v>33371895.00000006</v>
      </c>
      <c r="BA15" s="136">
        <f t="shared" si="15"/>
        <v>51933573.221647285</v>
      </c>
    </row>
    <row r="16" spans="2:53" ht="15" x14ac:dyDescent="0.25">
      <c r="B16" s="78">
        <v>1981</v>
      </c>
      <c r="C16" s="78">
        <v>1309.3</v>
      </c>
      <c r="D16" s="78">
        <v>181.4</v>
      </c>
      <c r="E16" s="28">
        <f t="shared" si="0"/>
        <v>7217750.8269018745</v>
      </c>
      <c r="F16" s="18">
        <v>1981</v>
      </c>
      <c r="G16" s="50">
        <v>7077279</v>
      </c>
      <c r="H16" s="68">
        <f t="shared" si="16"/>
        <v>185.00047829116247</v>
      </c>
      <c r="J16" s="18">
        <v>1574.9</v>
      </c>
      <c r="K16" s="68">
        <f t="shared" si="1"/>
        <v>222.52902563259127</v>
      </c>
      <c r="L16" s="68">
        <f t="shared" si="2"/>
        <v>407.52950392375374</v>
      </c>
      <c r="M16" s="76">
        <f t="shared" si="17"/>
        <v>1981</v>
      </c>
      <c r="N16" s="90">
        <v>261758831</v>
      </c>
      <c r="O16" s="70">
        <f t="shared" si="18"/>
        <v>36.99</v>
      </c>
      <c r="P16" s="70">
        <f t="shared" si="19"/>
        <v>0.2</v>
      </c>
      <c r="Q16" s="70">
        <f t="shared" si="20"/>
        <v>0.09</v>
      </c>
      <c r="R16" s="74">
        <f t="shared" ref="R16:R44" si="27">P16/P15-1</f>
        <v>0.25</v>
      </c>
      <c r="S16" s="74">
        <f t="shared" ref="S16:S44" si="28">Q16/Q15-1</f>
        <v>0.125</v>
      </c>
      <c r="T16" s="74"/>
      <c r="U16" s="18">
        <v>366</v>
      </c>
      <c r="V16" s="77">
        <f t="shared" si="21"/>
        <v>551159400000</v>
      </c>
      <c r="W16" s="77"/>
      <c r="X16" s="76">
        <f t="shared" si="22"/>
        <v>1981</v>
      </c>
      <c r="Y16" s="67">
        <f t="shared" si="23"/>
        <v>4.7492400746499108E-4</v>
      </c>
      <c r="Z16" s="68">
        <f t="shared" si="24"/>
        <v>77877.302844779755</v>
      </c>
      <c r="AA16" s="50">
        <f t="shared" si="25"/>
        <v>7077279</v>
      </c>
      <c r="AB16" s="66">
        <f t="shared" si="26"/>
        <v>261758831</v>
      </c>
      <c r="AC16" s="74"/>
      <c r="AD16" s="88">
        <f t="shared" si="3"/>
        <v>1983</v>
      </c>
      <c r="AE16" s="84">
        <f t="shared" si="4"/>
        <v>-3.2567701369325355</v>
      </c>
      <c r="AF16" s="87">
        <f t="shared" si="5"/>
        <v>67.419709805525969</v>
      </c>
      <c r="AG16" s="86">
        <f t="shared" si="6"/>
        <v>8.5040997975013095</v>
      </c>
      <c r="AH16" s="75">
        <f t="shared" si="7"/>
        <v>8.4718036033034316</v>
      </c>
      <c r="AI16" s="28">
        <f t="shared" si="8"/>
        <v>296349093.62724054</v>
      </c>
      <c r="AO16" s="85">
        <v>1984</v>
      </c>
      <c r="AP16" s="84">
        <f t="shared" si="9"/>
        <v>7.9021060458230194E-2</v>
      </c>
      <c r="AQ16" s="84">
        <f t="shared" ref="AQ16:AQ42" si="29">AR16</f>
        <v>3.1488796646250119</v>
      </c>
      <c r="AR16" s="84">
        <f t="shared" ref="AR16:AR42" si="30">(Z18-Z17)/$AP$11</f>
        <v>3.1488796646250119</v>
      </c>
      <c r="AS16" s="34">
        <f t="shared" si="10"/>
        <v>25610257.999999881</v>
      </c>
      <c r="AT16" s="28"/>
      <c r="AW16" s="85">
        <f t="shared" si="11"/>
        <v>1986</v>
      </c>
      <c r="AX16" s="84">
        <f t="shared" si="12"/>
        <v>4.5561548115705772E-2</v>
      </c>
      <c r="AY16" s="84">
        <f t="shared" si="13"/>
        <v>1.5369464966579836</v>
      </c>
      <c r="AZ16" s="135">
        <f t="shared" si="14"/>
        <v>67378830</v>
      </c>
      <c r="BA16" s="136">
        <f t="shared" si="15"/>
        <v>51241334.940358154</v>
      </c>
    </row>
    <row r="17" spans="2:53" ht="15" x14ac:dyDescent="0.25">
      <c r="B17" s="78">
        <v>1982</v>
      </c>
      <c r="C17" s="78">
        <v>1382.4</v>
      </c>
      <c r="D17" s="78">
        <v>195.5</v>
      </c>
      <c r="E17" s="28">
        <f t="shared" si="0"/>
        <v>7071099.7442455245</v>
      </c>
      <c r="F17" s="18">
        <v>1982</v>
      </c>
      <c r="G17" s="50">
        <v>7088350</v>
      </c>
      <c r="H17" s="68">
        <f t="shared" si="16"/>
        <v>195.02422989835435</v>
      </c>
      <c r="J17" s="18">
        <v>1574.9</v>
      </c>
      <c r="K17" s="68">
        <f t="shared" si="1"/>
        <v>222.18146677294433</v>
      </c>
      <c r="L17" s="68">
        <f t="shared" si="2"/>
        <v>417.20569667129871</v>
      </c>
      <c r="M17" s="76">
        <f t="shared" si="17"/>
        <v>1982</v>
      </c>
      <c r="N17" s="90">
        <v>264582975</v>
      </c>
      <c r="O17" s="70">
        <f t="shared" si="18"/>
        <v>37.33</v>
      </c>
      <c r="P17" s="70">
        <f t="shared" si="19"/>
        <v>0.19</v>
      </c>
      <c r="Q17" s="70">
        <f t="shared" si="20"/>
        <v>0.09</v>
      </c>
      <c r="R17" s="74">
        <f t="shared" si="27"/>
        <v>-5.0000000000000044E-2</v>
      </c>
      <c r="S17" s="74">
        <f t="shared" si="28"/>
        <v>0</v>
      </c>
      <c r="T17" s="74"/>
      <c r="U17" s="18">
        <v>365</v>
      </c>
      <c r="V17" s="77">
        <f t="shared" si="21"/>
        <v>477894500000</v>
      </c>
      <c r="W17" s="77"/>
      <c r="X17" s="76">
        <f t="shared" si="22"/>
        <v>1982</v>
      </c>
      <c r="Y17" s="67">
        <f t="shared" si="23"/>
        <v>5.5364306347949178E-4</v>
      </c>
      <c r="Z17" s="68">
        <f t="shared" si="24"/>
        <v>67419.70980552597</v>
      </c>
      <c r="AA17" s="50">
        <f t="shared" si="25"/>
        <v>7088350</v>
      </c>
      <c r="AB17" s="66">
        <f t="shared" si="26"/>
        <v>264582974.99999997</v>
      </c>
      <c r="AC17" s="74"/>
      <c r="AD17" s="88">
        <f t="shared" si="3"/>
        <v>1984</v>
      </c>
      <c r="AE17" s="84">
        <f t="shared" si="4"/>
        <v>-3.1988267920899829</v>
      </c>
      <c r="AF17" s="87">
        <f t="shared" si="5"/>
        <v>70.568589470150982</v>
      </c>
      <c r="AG17" s="86">
        <f t="shared" si="6"/>
        <v>8.5376143506113547</v>
      </c>
      <c r="AH17" s="75">
        <f t="shared" si="7"/>
        <v>8.5456981550683313</v>
      </c>
      <c r="AI17" s="28">
        <f t="shared" si="8"/>
        <v>351316182.60357141</v>
      </c>
      <c r="AO17" s="85">
        <v>1985</v>
      </c>
      <c r="AP17" s="84">
        <f t="shared" si="9"/>
        <v>2.9071136586527331E-2</v>
      </c>
      <c r="AQ17" s="84">
        <f t="shared" si="29"/>
        <v>1.8252347741785926</v>
      </c>
      <c r="AR17" s="84">
        <f t="shared" si="30"/>
        <v>1.8252347741785926</v>
      </c>
      <c r="AS17" s="34">
        <f t="shared" si="10"/>
        <v>33371895.00000006</v>
      </c>
      <c r="AT17" s="28"/>
      <c r="AW17" s="85">
        <f t="shared" si="11"/>
        <v>1987</v>
      </c>
      <c r="AX17" s="84">
        <f t="shared" si="12"/>
        <v>0.21349769950916966</v>
      </c>
      <c r="AY17" s="84">
        <f t="shared" si="13"/>
        <v>-7.4305937432214701</v>
      </c>
      <c r="AZ17" s="135">
        <f t="shared" si="14"/>
        <v>-7832741.0000000596</v>
      </c>
      <c r="BA17" s="136">
        <f t="shared" si="15"/>
        <v>-9416659.7547914907</v>
      </c>
    </row>
    <row r="18" spans="2:53" ht="15" x14ac:dyDescent="0.25">
      <c r="B18" s="78">
        <v>1983</v>
      </c>
      <c r="C18" s="78">
        <v>1423.8</v>
      </c>
      <c r="D18" s="78">
        <v>201.4</v>
      </c>
      <c r="E18" s="28">
        <f t="shared" si="0"/>
        <v>7069513.4061569013</v>
      </c>
      <c r="F18" s="18">
        <v>1983</v>
      </c>
      <c r="G18" s="50">
        <v>7150150</v>
      </c>
      <c r="H18" s="68">
        <f t="shared" si="16"/>
        <v>199.12868960791033</v>
      </c>
      <c r="J18" s="18">
        <v>1574.9</v>
      </c>
      <c r="K18" s="68">
        <f t="shared" si="1"/>
        <v>220.26111340321532</v>
      </c>
      <c r="L18" s="68">
        <f t="shared" si="2"/>
        <v>419.38980301112565</v>
      </c>
      <c r="M18" s="76">
        <f t="shared" si="17"/>
        <v>1983</v>
      </c>
      <c r="N18" s="90">
        <v>319227133</v>
      </c>
      <c r="O18" s="70">
        <f t="shared" si="18"/>
        <v>44.65</v>
      </c>
      <c r="P18" s="70">
        <f t="shared" si="19"/>
        <v>0.22</v>
      </c>
      <c r="Q18" s="70">
        <f t="shared" si="20"/>
        <v>0.11</v>
      </c>
      <c r="R18" s="74">
        <f t="shared" si="27"/>
        <v>0.15789473684210531</v>
      </c>
      <c r="S18" s="74">
        <f t="shared" si="28"/>
        <v>0.22222222222222232</v>
      </c>
      <c r="T18" s="74"/>
      <c r="U18" s="18">
        <v>365</v>
      </c>
      <c r="V18" s="77">
        <f t="shared" si="21"/>
        <v>504576000000</v>
      </c>
      <c r="W18" s="77"/>
      <c r="X18" s="76">
        <f t="shared" si="22"/>
        <v>1983</v>
      </c>
      <c r="Y18" s="67">
        <f t="shared" si="23"/>
        <v>6.3266412393772197E-4</v>
      </c>
      <c r="Z18" s="68">
        <f t="shared" si="24"/>
        <v>70568.589470150982</v>
      </c>
      <c r="AA18" s="50">
        <f t="shared" si="25"/>
        <v>7150150</v>
      </c>
      <c r="AB18" s="66">
        <f t="shared" si="26"/>
        <v>319227133.00000006</v>
      </c>
      <c r="AC18" s="74"/>
      <c r="AD18" s="88">
        <f t="shared" si="3"/>
        <v>1985</v>
      </c>
      <c r="AE18" s="84">
        <f t="shared" si="4"/>
        <v>-3.1793157233840379</v>
      </c>
      <c r="AF18" s="87">
        <f t="shared" si="5"/>
        <v>72.393824244329579</v>
      </c>
      <c r="AG18" s="86">
        <f t="shared" si="6"/>
        <v>8.5777321876741457</v>
      </c>
      <c r="AH18" s="75">
        <f t="shared" si="7"/>
        <v>8.5746424470298557</v>
      </c>
      <c r="AI18" s="28">
        <f t="shared" si="8"/>
        <v>375528106.14405364</v>
      </c>
      <c r="AO18" s="85">
        <v>1986</v>
      </c>
      <c r="AP18" s="84">
        <f t="shared" si="9"/>
        <v>4.5561548115705772E-2</v>
      </c>
      <c r="AQ18" s="84">
        <f t="shared" si="29"/>
        <v>1.5369464966579836</v>
      </c>
      <c r="AR18" s="84">
        <f t="shared" si="30"/>
        <v>1.5369464966579836</v>
      </c>
      <c r="AS18" s="34">
        <f t="shared" si="10"/>
        <v>67378830</v>
      </c>
      <c r="AT18" s="28"/>
      <c r="AW18" s="85">
        <f t="shared" si="11"/>
        <v>1988</v>
      </c>
      <c r="AX18" s="84">
        <f t="shared" si="12"/>
        <v>-3.5288520765938261E-2</v>
      </c>
      <c r="AY18" s="84">
        <f t="shared" si="13"/>
        <v>1.2901294459552883</v>
      </c>
      <c r="AZ18" s="135">
        <f t="shared" si="14"/>
        <v>-3108850.9999998808</v>
      </c>
      <c r="BA18" s="136">
        <f t="shared" si="15"/>
        <v>39879226.160697967</v>
      </c>
    </row>
    <row r="19" spans="2:53" ht="15" x14ac:dyDescent="0.25">
      <c r="B19" s="78">
        <v>1984</v>
      </c>
      <c r="C19" s="78">
        <v>1465</v>
      </c>
      <c r="D19" s="78">
        <v>207.2</v>
      </c>
      <c r="E19" s="28">
        <f t="shared" si="0"/>
        <v>7070463.3204633212</v>
      </c>
      <c r="F19" s="18">
        <v>1984</v>
      </c>
      <c r="G19" s="50">
        <v>7198277</v>
      </c>
      <c r="H19" s="68">
        <f t="shared" si="16"/>
        <v>203.5209259104644</v>
      </c>
      <c r="J19" s="18">
        <v>1574.9</v>
      </c>
      <c r="K19" s="68">
        <f t="shared" si="1"/>
        <v>218.78846840709241</v>
      </c>
      <c r="L19" s="68">
        <f t="shared" si="2"/>
        <v>422.30939431755678</v>
      </c>
      <c r="M19" s="76">
        <f t="shared" si="17"/>
        <v>1984</v>
      </c>
      <c r="N19" s="90">
        <v>344837391</v>
      </c>
      <c r="O19" s="70">
        <f t="shared" si="18"/>
        <v>47.91</v>
      </c>
      <c r="P19" s="70">
        <f t="shared" si="19"/>
        <v>0.24</v>
      </c>
      <c r="Q19" s="70">
        <f t="shared" si="20"/>
        <v>0.11</v>
      </c>
      <c r="R19" s="74">
        <f t="shared" si="27"/>
        <v>9.0909090909090828E-2</v>
      </c>
      <c r="S19" s="74">
        <f t="shared" si="28"/>
        <v>0</v>
      </c>
      <c r="T19" s="74"/>
      <c r="U19" s="18">
        <f t="shared" ref="U19:U44" si="31">U16</f>
        <v>366</v>
      </c>
      <c r="V19" s="77">
        <f t="shared" si="21"/>
        <v>521110800000</v>
      </c>
      <c r="W19" s="77"/>
      <c r="X19" s="76">
        <f t="shared" si="22"/>
        <v>1984</v>
      </c>
      <c r="Y19" s="67">
        <f t="shared" si="23"/>
        <v>6.617352605242493E-4</v>
      </c>
      <c r="Z19" s="68">
        <f t="shared" si="24"/>
        <v>72393.824244329575</v>
      </c>
      <c r="AA19" s="50">
        <f t="shared" si="25"/>
        <v>7198277</v>
      </c>
      <c r="AB19" s="66">
        <f t="shared" si="26"/>
        <v>344837390.99999994</v>
      </c>
      <c r="AC19" s="74"/>
      <c r="AD19" s="88">
        <f t="shared" si="3"/>
        <v>1986</v>
      </c>
      <c r="AE19" s="84">
        <f t="shared" si="4"/>
        <v>-3.1503983014724577</v>
      </c>
      <c r="AF19" s="87">
        <f t="shared" si="5"/>
        <v>73.930770740987555</v>
      </c>
      <c r="AG19" s="86">
        <f t="shared" si="6"/>
        <v>8.648933599525531</v>
      </c>
      <c r="AH19" s="75">
        <f t="shared" si="7"/>
        <v>8.6113370902194681</v>
      </c>
      <c r="AI19" s="28">
        <f t="shared" si="8"/>
        <v>408636438.25927377</v>
      </c>
      <c r="AO19" s="85">
        <v>1987</v>
      </c>
      <c r="AP19" s="84">
        <f t="shared" si="9"/>
        <v>0.21349769950916966</v>
      </c>
      <c r="AQ19" s="84">
        <f t="shared" si="29"/>
        <v>-7.4305937432214701</v>
      </c>
      <c r="AR19" s="84">
        <f t="shared" si="30"/>
        <v>-7.4305937432214701</v>
      </c>
      <c r="AS19" s="34">
        <f t="shared" si="10"/>
        <v>-7832741.0000000596</v>
      </c>
      <c r="AT19" s="28"/>
      <c r="AW19" s="85">
        <f t="shared" si="11"/>
        <v>1989</v>
      </c>
      <c r="AX19" s="84">
        <f t="shared" si="12"/>
        <v>-6.2268936211013641E-2</v>
      </c>
      <c r="AY19" s="84">
        <f t="shared" si="13"/>
        <v>4.6350969922748337</v>
      </c>
      <c r="AZ19" s="135">
        <f t="shared" si="14"/>
        <v>110985718.99999994</v>
      </c>
      <c r="BA19" s="136">
        <f t="shared" si="15"/>
        <v>66549161.053712413</v>
      </c>
    </row>
    <row r="20" spans="2:53" ht="15" x14ac:dyDescent="0.25">
      <c r="B20" s="78">
        <v>1985</v>
      </c>
      <c r="C20" s="78">
        <v>1325.8</v>
      </c>
      <c r="D20" s="78">
        <v>187.5</v>
      </c>
      <c r="E20" s="28">
        <f t="shared" si="0"/>
        <v>7070933.333333333</v>
      </c>
      <c r="F20" s="18">
        <v>1985</v>
      </c>
      <c r="G20" s="50">
        <v>7232780</v>
      </c>
      <c r="H20" s="68">
        <f t="shared" si="16"/>
        <v>183.30434494067288</v>
      </c>
      <c r="J20" s="18">
        <v>1574.9</v>
      </c>
      <c r="K20" s="68">
        <f t="shared" si="1"/>
        <v>217.74476757208154</v>
      </c>
      <c r="L20" s="68">
        <f t="shared" si="2"/>
        <v>401.04911251275439</v>
      </c>
      <c r="M20" s="76">
        <f t="shared" si="17"/>
        <v>1985</v>
      </c>
      <c r="N20" s="90">
        <v>378209286</v>
      </c>
      <c r="O20" s="70">
        <f t="shared" si="18"/>
        <v>52.29</v>
      </c>
      <c r="P20" s="70">
        <f t="shared" si="19"/>
        <v>0.28999999999999998</v>
      </c>
      <c r="Q20" s="70">
        <f t="shared" si="20"/>
        <v>0.13</v>
      </c>
      <c r="R20" s="74">
        <f t="shared" si="27"/>
        <v>0.20833333333333326</v>
      </c>
      <c r="S20" s="74">
        <f t="shared" si="28"/>
        <v>0.18181818181818188</v>
      </c>
      <c r="T20" s="74"/>
      <c r="U20" s="18">
        <f t="shared" si="31"/>
        <v>365</v>
      </c>
      <c r="V20" s="77">
        <f t="shared" si="21"/>
        <v>534725000000</v>
      </c>
      <c r="W20" s="77"/>
      <c r="X20" s="76">
        <f t="shared" si="22"/>
        <v>1985</v>
      </c>
      <c r="Y20" s="67">
        <f t="shared" si="23"/>
        <v>7.0729680863995507E-4</v>
      </c>
      <c r="Z20" s="68">
        <f t="shared" si="24"/>
        <v>73930.770740987558</v>
      </c>
      <c r="AA20" s="50">
        <f t="shared" si="25"/>
        <v>7232780</v>
      </c>
      <c r="AB20" s="66">
        <f t="shared" si="26"/>
        <v>378209286</v>
      </c>
      <c r="AC20" s="74"/>
      <c r="AD20" s="88">
        <f t="shared" si="3"/>
        <v>1987</v>
      </c>
      <c r="AE20" s="84">
        <f t="shared" si="4"/>
        <v>-3.0358372796124558</v>
      </c>
      <c r="AF20" s="87">
        <f t="shared" si="5"/>
        <v>66.50017699776609</v>
      </c>
      <c r="AG20" s="86">
        <f t="shared" si="6"/>
        <v>8.6412314872934832</v>
      </c>
      <c r="AH20" s="75">
        <f t="shared" si="7"/>
        <v>8.6849154797315755</v>
      </c>
      <c r="AI20" s="28">
        <f t="shared" si="8"/>
        <v>484078149.49388951</v>
      </c>
      <c r="AO20" s="85">
        <v>1988</v>
      </c>
      <c r="AP20" s="84">
        <f t="shared" si="9"/>
        <v>-3.5288520765938261E-2</v>
      </c>
      <c r="AQ20" s="84">
        <f t="shared" si="29"/>
        <v>1.2901294459552883</v>
      </c>
      <c r="AR20" s="84">
        <f t="shared" si="30"/>
        <v>1.2901294459552883</v>
      </c>
      <c r="AS20" s="34">
        <f t="shared" si="10"/>
        <v>-3108850.9999998808</v>
      </c>
      <c r="AT20" s="28"/>
      <c r="AW20" s="85">
        <f t="shared" si="11"/>
        <v>1990</v>
      </c>
      <c r="AX20" s="84">
        <f t="shared" si="12"/>
        <v>0.18416429496587336</v>
      </c>
      <c r="AY20" s="84">
        <f t="shared" si="13"/>
        <v>1.6300375637526159</v>
      </c>
      <c r="AZ20" s="135">
        <f t="shared" si="14"/>
        <v>25743947.000000119</v>
      </c>
      <c r="BA20" s="136">
        <f t="shared" si="15"/>
        <v>67786335.244924575</v>
      </c>
    </row>
    <row r="21" spans="2:53" ht="15" x14ac:dyDescent="0.25">
      <c r="B21" s="78">
        <v>1986</v>
      </c>
      <c r="C21" s="78">
        <v>1350.7</v>
      </c>
      <c r="D21" s="78">
        <v>190.4</v>
      </c>
      <c r="E21" s="28">
        <f t="shared" si="0"/>
        <v>7094012.6050420161</v>
      </c>
      <c r="F21" s="18">
        <v>1986</v>
      </c>
      <c r="G21" s="50">
        <v>7276928</v>
      </c>
      <c r="H21" s="68">
        <f t="shared" si="16"/>
        <v>185.61403933088249</v>
      </c>
      <c r="J21" s="18">
        <v>1744.9</v>
      </c>
      <c r="K21" s="68">
        <f t="shared" si="1"/>
        <v>239.78525003957714</v>
      </c>
      <c r="L21" s="68">
        <f t="shared" si="2"/>
        <v>425.39928937045966</v>
      </c>
      <c r="M21" s="76">
        <f t="shared" si="17"/>
        <v>1986</v>
      </c>
      <c r="N21" s="90">
        <v>445588116</v>
      </c>
      <c r="O21" s="70">
        <f t="shared" si="18"/>
        <v>61.23</v>
      </c>
      <c r="P21" s="70">
        <f t="shared" si="19"/>
        <v>0.33</v>
      </c>
      <c r="Q21" s="70">
        <f t="shared" si="20"/>
        <v>0.14000000000000001</v>
      </c>
      <c r="R21" s="74">
        <f t="shared" si="27"/>
        <v>0.13793103448275867</v>
      </c>
      <c r="S21" s="74">
        <f t="shared" si="28"/>
        <v>7.6923076923077094E-2</v>
      </c>
      <c r="T21" s="74"/>
      <c r="U21" s="18">
        <f t="shared" si="31"/>
        <v>365</v>
      </c>
      <c r="V21" s="77">
        <f t="shared" si="21"/>
        <v>483917000000</v>
      </c>
      <c r="W21" s="77"/>
      <c r="X21" s="76">
        <f t="shared" si="22"/>
        <v>1986</v>
      </c>
      <c r="Y21" s="67">
        <f t="shared" si="23"/>
        <v>9.2079450814912473E-4</v>
      </c>
      <c r="Z21" s="68">
        <f t="shared" si="24"/>
        <v>66500.176997766088</v>
      </c>
      <c r="AA21" s="50">
        <f t="shared" si="25"/>
        <v>7276928</v>
      </c>
      <c r="AB21" s="66">
        <f t="shared" si="26"/>
        <v>445588116</v>
      </c>
      <c r="AC21" s="74"/>
      <c r="AD21" s="88">
        <f t="shared" si="3"/>
        <v>1988</v>
      </c>
      <c r="AE21" s="84">
        <f t="shared" si="4"/>
        <v>-3.0528084979649419</v>
      </c>
      <c r="AF21" s="87">
        <f t="shared" si="5"/>
        <v>67.790306443721377</v>
      </c>
      <c r="AG21" s="86">
        <f t="shared" si="6"/>
        <v>8.6381362107904724</v>
      </c>
      <c r="AH21" s="75">
        <f t="shared" si="7"/>
        <v>8.675021009574623</v>
      </c>
      <c r="AI21" s="28">
        <f t="shared" si="8"/>
        <v>473174148.83816302</v>
      </c>
      <c r="AO21" s="85">
        <v>1989</v>
      </c>
      <c r="AP21" s="84">
        <f t="shared" si="9"/>
        <v>-6.2268936211013641E-2</v>
      </c>
      <c r="AQ21" s="84">
        <f t="shared" si="29"/>
        <v>4.6350969922748337</v>
      </c>
      <c r="AR21" s="84">
        <f t="shared" si="30"/>
        <v>4.6350969922748337</v>
      </c>
      <c r="AS21" s="34">
        <f t="shared" si="10"/>
        <v>110985718.99999994</v>
      </c>
      <c r="AT21" s="28"/>
      <c r="AW21" s="85">
        <f t="shared" si="11"/>
        <v>1991</v>
      </c>
      <c r="AX21" s="84">
        <f t="shared" si="12"/>
        <v>0.10634419937635849</v>
      </c>
      <c r="AY21" s="84">
        <f t="shared" si="13"/>
        <v>-3.9949813028448409</v>
      </c>
      <c r="AZ21" s="135">
        <f t="shared" si="14"/>
        <v>25001578.999999881</v>
      </c>
      <c r="BA21" s="136">
        <f t="shared" si="15"/>
        <v>8967243.6121046022</v>
      </c>
    </row>
    <row r="22" spans="2:53" ht="15" x14ac:dyDescent="0.25">
      <c r="B22" s="78">
        <v>1987</v>
      </c>
      <c r="C22" s="78">
        <v>1446.5</v>
      </c>
      <c r="D22" s="78">
        <v>201.9</v>
      </c>
      <c r="E22" s="28">
        <f t="shared" si="0"/>
        <v>7164437.840515106</v>
      </c>
      <c r="F22" s="18">
        <v>1987</v>
      </c>
      <c r="G22" s="50">
        <v>7292432</v>
      </c>
      <c r="H22" s="68">
        <f t="shared" si="16"/>
        <v>198.35632337744116</v>
      </c>
      <c r="J22" s="18">
        <v>1804.9</v>
      </c>
      <c r="K22" s="68">
        <f t="shared" si="1"/>
        <v>247.50316492495233</v>
      </c>
      <c r="L22" s="68">
        <f t="shared" si="2"/>
        <v>445.85948830239352</v>
      </c>
      <c r="M22" s="76">
        <f t="shared" si="17"/>
        <v>1987</v>
      </c>
      <c r="N22" s="90">
        <v>437755375</v>
      </c>
      <c r="O22" s="70">
        <f t="shared" si="18"/>
        <v>60.03</v>
      </c>
      <c r="P22" s="70">
        <f t="shared" si="19"/>
        <v>0.3</v>
      </c>
      <c r="Q22" s="70">
        <f t="shared" si="20"/>
        <v>0.13</v>
      </c>
      <c r="R22" s="74">
        <f t="shared" si="27"/>
        <v>-9.0909090909090939E-2</v>
      </c>
      <c r="S22" s="74">
        <f t="shared" si="28"/>
        <v>-7.1428571428571508E-2</v>
      </c>
      <c r="T22" s="74"/>
      <c r="U22" s="18">
        <f t="shared" si="31"/>
        <v>366</v>
      </c>
      <c r="V22" s="77">
        <f t="shared" si="21"/>
        <v>494356200000</v>
      </c>
      <c r="W22" s="77"/>
      <c r="X22" s="76">
        <f t="shared" si="22"/>
        <v>1987</v>
      </c>
      <c r="Y22" s="67">
        <f t="shared" si="23"/>
        <v>8.8550598738318647E-4</v>
      </c>
      <c r="Z22" s="68">
        <f t="shared" si="24"/>
        <v>67790.306443721376</v>
      </c>
      <c r="AA22" s="50">
        <f t="shared" si="25"/>
        <v>7292432</v>
      </c>
      <c r="AB22" s="66">
        <f t="shared" si="26"/>
        <v>437755374.99999994</v>
      </c>
      <c r="AC22" s="74"/>
      <c r="AD22" s="88">
        <f t="shared" si="3"/>
        <v>1989</v>
      </c>
      <c r="AE22" s="84">
        <f t="shared" si="4"/>
        <v>-3.0844750916500048</v>
      </c>
      <c r="AF22" s="87">
        <f t="shared" si="5"/>
        <v>72.425403435996216</v>
      </c>
      <c r="AG22" s="86">
        <f t="shared" si="6"/>
        <v>8.7369000261338225</v>
      </c>
      <c r="AH22" s="75">
        <f t="shared" si="7"/>
        <v>8.6683896052389375</v>
      </c>
      <c r="AI22" s="28">
        <f t="shared" si="8"/>
        <v>466003957.84698147</v>
      </c>
      <c r="AO22" s="85">
        <v>1990</v>
      </c>
      <c r="AP22" s="84">
        <f t="shared" si="9"/>
        <v>0.18416429496587336</v>
      </c>
      <c r="AQ22" s="84">
        <f t="shared" si="29"/>
        <v>1.6300375637526159</v>
      </c>
      <c r="AR22" s="84">
        <f t="shared" si="30"/>
        <v>1.6300375637526159</v>
      </c>
      <c r="AS22" s="34">
        <f t="shared" si="10"/>
        <v>25743947.000000119</v>
      </c>
      <c r="AT22" s="28"/>
      <c r="AW22" s="85">
        <f t="shared" si="11"/>
        <v>1992</v>
      </c>
      <c r="AX22" s="84">
        <f t="shared" si="12"/>
        <v>3.382552899775372E-2</v>
      </c>
      <c r="AY22" s="84">
        <f t="shared" si="13"/>
        <v>1.0858681530828909</v>
      </c>
      <c r="AZ22" s="135">
        <f t="shared" si="14"/>
        <v>47746205</v>
      </c>
      <c r="BA22" s="136">
        <f t="shared" si="15"/>
        <v>45901353.416698158</v>
      </c>
    </row>
    <row r="23" spans="2:53" ht="15" x14ac:dyDescent="0.25">
      <c r="B23" s="78">
        <v>1988</v>
      </c>
      <c r="C23" s="78">
        <v>1483.9</v>
      </c>
      <c r="D23" s="78">
        <v>208.3</v>
      </c>
      <c r="E23" s="28">
        <f t="shared" si="0"/>
        <v>7123859.8175708111</v>
      </c>
      <c r="F23" s="18">
        <v>1988</v>
      </c>
      <c r="G23" s="50">
        <v>7289880</v>
      </c>
      <c r="H23" s="68">
        <f t="shared" si="16"/>
        <v>203.55616279005963</v>
      </c>
      <c r="J23" s="18">
        <v>1804.9</v>
      </c>
      <c r="K23" s="68">
        <f t="shared" si="1"/>
        <v>247.58980943444885</v>
      </c>
      <c r="L23" s="68">
        <f t="shared" si="2"/>
        <v>451.14597222450845</v>
      </c>
      <c r="M23" s="76">
        <f t="shared" si="17"/>
        <v>1988</v>
      </c>
      <c r="N23" s="90">
        <v>434646524</v>
      </c>
      <c r="O23" s="70">
        <f t="shared" si="18"/>
        <v>59.62</v>
      </c>
      <c r="P23" s="70">
        <f t="shared" si="19"/>
        <v>0.28999999999999998</v>
      </c>
      <c r="Q23" s="70">
        <f t="shared" si="20"/>
        <v>0.13</v>
      </c>
      <c r="R23" s="74">
        <f t="shared" si="27"/>
        <v>-3.3333333333333326E-2</v>
      </c>
      <c r="S23" s="74">
        <f t="shared" si="28"/>
        <v>0</v>
      </c>
      <c r="T23" s="74"/>
      <c r="U23" s="18">
        <f t="shared" si="31"/>
        <v>365</v>
      </c>
      <c r="V23" s="77">
        <f t="shared" si="21"/>
        <v>527972500000</v>
      </c>
      <c r="W23" s="77"/>
      <c r="X23" s="76">
        <f t="shared" si="22"/>
        <v>1988</v>
      </c>
      <c r="Y23" s="67">
        <f t="shared" si="23"/>
        <v>8.2323705117217283E-4</v>
      </c>
      <c r="Z23" s="68">
        <f t="shared" si="24"/>
        <v>72425.40343599621</v>
      </c>
      <c r="AA23" s="50">
        <f t="shared" si="25"/>
        <v>7289880</v>
      </c>
      <c r="AB23" s="66">
        <f t="shared" si="26"/>
        <v>434646524.00000006</v>
      </c>
      <c r="AC23" s="74"/>
      <c r="AD23" s="88">
        <f t="shared" si="3"/>
        <v>1990</v>
      </c>
      <c r="AE23" s="84">
        <f t="shared" si="4"/>
        <v>-2.9967974731527818</v>
      </c>
      <c r="AF23" s="87">
        <f t="shared" si="5"/>
        <v>74.055440999748825</v>
      </c>
      <c r="AG23" s="86">
        <f t="shared" si="6"/>
        <v>8.7569221387995011</v>
      </c>
      <c r="AH23" s="75">
        <f t="shared" si="7"/>
        <v>8.7635574125397184</v>
      </c>
      <c r="AI23" s="28">
        <f t="shared" si="8"/>
        <v>580172864.71528852</v>
      </c>
      <c r="AO23" s="85">
        <v>1991</v>
      </c>
      <c r="AP23" s="84">
        <f t="shared" si="9"/>
        <v>0.10634419937635849</v>
      </c>
      <c r="AQ23" s="84">
        <f t="shared" si="29"/>
        <v>-3.9949813028448409</v>
      </c>
      <c r="AR23" s="84">
        <f t="shared" si="30"/>
        <v>-3.9949813028448409</v>
      </c>
      <c r="AS23" s="34">
        <f t="shared" si="10"/>
        <v>25001578.999999881</v>
      </c>
      <c r="AT23" s="28"/>
      <c r="AW23" s="85">
        <f t="shared" si="11"/>
        <v>1993</v>
      </c>
      <c r="AX23" s="84">
        <f t="shared" si="12"/>
        <v>3.182023501023426E-2</v>
      </c>
      <c r="AY23" s="84">
        <f t="shared" si="13"/>
        <v>3.6185387223594736</v>
      </c>
      <c r="AZ23" s="135">
        <f t="shared" si="14"/>
        <v>64997875.000000119</v>
      </c>
      <c r="BA23" s="136">
        <f t="shared" si="15"/>
        <v>68183916.323117942</v>
      </c>
    </row>
    <row r="24" spans="2:53" ht="15" x14ac:dyDescent="0.25">
      <c r="B24" s="78">
        <v>1989</v>
      </c>
      <c r="C24" s="78">
        <v>1401.7</v>
      </c>
      <c r="D24" s="78">
        <v>198.2</v>
      </c>
      <c r="E24" s="28">
        <f t="shared" si="0"/>
        <v>7072149.344096872</v>
      </c>
      <c r="F24" s="18">
        <v>1989</v>
      </c>
      <c r="G24" s="50">
        <v>7313757</v>
      </c>
      <c r="H24" s="68">
        <f t="shared" si="16"/>
        <v>191.65252550775205</v>
      </c>
      <c r="J24" s="18">
        <v>1804.9</v>
      </c>
      <c r="K24" s="68">
        <f t="shared" si="1"/>
        <v>246.78151051504719</v>
      </c>
      <c r="L24" s="68">
        <f t="shared" si="2"/>
        <v>438.43403602279921</v>
      </c>
      <c r="M24" s="76">
        <f t="shared" si="17"/>
        <v>1989</v>
      </c>
      <c r="N24" s="90">
        <v>545632243</v>
      </c>
      <c r="O24" s="70">
        <f t="shared" si="18"/>
        <v>74.599999999999994</v>
      </c>
      <c r="P24" s="70">
        <f t="shared" si="19"/>
        <v>0.39</v>
      </c>
      <c r="Q24" s="70">
        <f t="shared" si="20"/>
        <v>0.17</v>
      </c>
      <c r="R24" s="74">
        <f t="shared" si="27"/>
        <v>0.3448275862068968</v>
      </c>
      <c r="S24" s="74">
        <f t="shared" si="28"/>
        <v>0.30769230769230771</v>
      </c>
      <c r="T24" s="74"/>
      <c r="U24" s="18">
        <f t="shared" si="31"/>
        <v>365</v>
      </c>
      <c r="V24" s="77">
        <f t="shared" si="21"/>
        <v>541623500000</v>
      </c>
      <c r="W24" s="77"/>
      <c r="X24" s="76">
        <f t="shared" si="22"/>
        <v>1989</v>
      </c>
      <c r="Y24" s="67">
        <f t="shared" si="23"/>
        <v>1.0074013461380462E-3</v>
      </c>
      <c r="Z24" s="68">
        <f t="shared" si="24"/>
        <v>74055.440999748826</v>
      </c>
      <c r="AA24" s="50">
        <f t="shared" si="25"/>
        <v>7313757</v>
      </c>
      <c r="AB24" s="66">
        <f t="shared" si="26"/>
        <v>545632243</v>
      </c>
      <c r="AC24" s="74"/>
      <c r="AD24" s="88">
        <f t="shared" si="3"/>
        <v>1991</v>
      </c>
      <c r="AE24" s="84">
        <f t="shared" si="4"/>
        <v>-2.9532140199358836</v>
      </c>
      <c r="AF24" s="87">
        <f t="shared" si="5"/>
        <v>70.06045969690399</v>
      </c>
      <c r="AG24" s="86">
        <f t="shared" si="6"/>
        <v>8.7755214460140643</v>
      </c>
      <c r="AH24" s="75">
        <f t="shared" si="7"/>
        <v>8.7853464615456343</v>
      </c>
      <c r="AI24" s="28">
        <f t="shared" si="8"/>
        <v>610023353.69394815</v>
      </c>
      <c r="AO24" s="85">
        <v>1992</v>
      </c>
      <c r="AP24" s="84">
        <f t="shared" si="9"/>
        <v>3.382552899775372E-2</v>
      </c>
      <c r="AQ24" s="84">
        <f t="shared" si="29"/>
        <v>1.0858681530828909</v>
      </c>
      <c r="AR24" s="84">
        <f t="shared" si="30"/>
        <v>1.0858681530828909</v>
      </c>
      <c r="AS24" s="34">
        <f t="shared" si="10"/>
        <v>47746205</v>
      </c>
      <c r="AT24" s="28"/>
      <c r="AW24" s="85">
        <f t="shared" si="11"/>
        <v>1994</v>
      </c>
      <c r="AX24" s="84">
        <f t="shared" si="12"/>
        <v>0.23628265709340637</v>
      </c>
      <c r="AY24" s="84">
        <f t="shared" si="13"/>
        <v>-6.4196352001643824</v>
      </c>
      <c r="AZ24" s="135">
        <f t="shared" si="14"/>
        <v>8723813.9999998808</v>
      </c>
      <c r="BA24" s="136">
        <f t="shared" si="15"/>
        <v>2152401.2035372257</v>
      </c>
    </row>
    <row r="25" spans="2:53" ht="15" x14ac:dyDescent="0.25">
      <c r="B25" s="78">
        <v>1990</v>
      </c>
      <c r="C25" s="78">
        <v>1423.8</v>
      </c>
      <c r="D25" s="78">
        <v>201.3</v>
      </c>
      <c r="E25" s="28">
        <f t="shared" si="0"/>
        <v>7073025.3353204168</v>
      </c>
      <c r="F25" s="18">
        <v>1990</v>
      </c>
      <c r="G25" s="50">
        <v>7322564</v>
      </c>
      <c r="H25" s="68">
        <f t="shared" si="16"/>
        <v>194.44008956425645</v>
      </c>
      <c r="J25" s="18">
        <v>1804.9</v>
      </c>
      <c r="K25" s="68">
        <f t="shared" si="1"/>
        <v>246.48470126037819</v>
      </c>
      <c r="L25" s="68">
        <f t="shared" si="2"/>
        <v>440.92479082463467</v>
      </c>
      <c r="M25" s="76">
        <f t="shared" si="17"/>
        <v>1990</v>
      </c>
      <c r="N25" s="90">
        <v>571376190</v>
      </c>
      <c r="O25" s="70">
        <f t="shared" si="18"/>
        <v>78.03</v>
      </c>
      <c r="P25" s="70">
        <f t="shared" si="19"/>
        <v>0.4</v>
      </c>
      <c r="Q25" s="70">
        <f t="shared" si="20"/>
        <v>0.18</v>
      </c>
      <c r="R25" s="74">
        <f t="shared" si="27"/>
        <v>2.5641025641025772E-2</v>
      </c>
      <c r="S25" s="74">
        <f t="shared" si="28"/>
        <v>5.8823529411764497E-2</v>
      </c>
      <c r="T25" s="74"/>
      <c r="U25" s="18">
        <f t="shared" si="31"/>
        <v>366</v>
      </c>
      <c r="V25" s="77">
        <f t="shared" si="21"/>
        <v>513022200000</v>
      </c>
      <c r="W25" s="77"/>
      <c r="X25" s="76">
        <f t="shared" si="22"/>
        <v>1990</v>
      </c>
      <c r="Y25" s="67">
        <f t="shared" si="23"/>
        <v>1.1137455455144047E-3</v>
      </c>
      <c r="Z25" s="68">
        <f t="shared" si="24"/>
        <v>70060.459696903985</v>
      </c>
      <c r="AA25" s="50">
        <f t="shared" si="25"/>
        <v>7322564</v>
      </c>
      <c r="AB25" s="66">
        <f t="shared" si="26"/>
        <v>571376190.00000012</v>
      </c>
      <c r="AC25" s="74"/>
      <c r="AD25" s="88">
        <f t="shared" si="3"/>
        <v>1992</v>
      </c>
      <c r="AE25" s="84">
        <f t="shared" si="4"/>
        <v>-2.9402204070433928</v>
      </c>
      <c r="AF25" s="87">
        <f t="shared" si="5"/>
        <v>71.146327849986875</v>
      </c>
      <c r="AG25" s="86">
        <f t="shared" si="6"/>
        <v>8.8089694636989098</v>
      </c>
      <c r="AH25" s="75">
        <f t="shared" si="7"/>
        <v>8.8039336529565961</v>
      </c>
      <c r="AI25" s="28">
        <f t="shared" si="8"/>
        <v>636698245.26945603</v>
      </c>
      <c r="AO25" s="85">
        <v>1993</v>
      </c>
      <c r="AP25" s="84">
        <f t="shared" si="9"/>
        <v>3.182023501023426E-2</v>
      </c>
      <c r="AQ25" s="84">
        <f t="shared" si="29"/>
        <v>3.6185387223594736</v>
      </c>
      <c r="AR25" s="84">
        <f t="shared" si="30"/>
        <v>3.6185387223594736</v>
      </c>
      <c r="AS25" s="34">
        <f t="shared" si="10"/>
        <v>64997875.000000119</v>
      </c>
      <c r="AT25" s="28"/>
      <c r="AW25" s="85">
        <f t="shared" si="11"/>
        <v>1995</v>
      </c>
      <c r="AX25" s="84">
        <f t="shared" si="12"/>
        <v>2.1447295039548092E-2</v>
      </c>
      <c r="AY25" s="84">
        <f t="shared" si="13"/>
        <v>-2.3647451189064013</v>
      </c>
      <c r="AZ25" s="135">
        <f t="shared" si="14"/>
        <v>20715723</v>
      </c>
      <c r="BA25" s="136">
        <f t="shared" si="15"/>
        <v>13829165.61559128</v>
      </c>
    </row>
    <row r="26" spans="2:53" ht="15" x14ac:dyDescent="0.25">
      <c r="B26" s="78">
        <v>1991</v>
      </c>
      <c r="C26" s="78">
        <v>1496.3</v>
      </c>
      <c r="D26" s="78">
        <v>204.1</v>
      </c>
      <c r="E26" s="28">
        <f t="shared" si="0"/>
        <v>7331210.1910828026</v>
      </c>
      <c r="F26" s="18">
        <v>1991</v>
      </c>
      <c r="G26" s="50">
        <v>7304481</v>
      </c>
      <c r="H26" s="68">
        <f t="shared" si="16"/>
        <v>204.84686044087184</v>
      </c>
      <c r="J26" s="18">
        <v>1804.9</v>
      </c>
      <c r="K26" s="68">
        <f t="shared" si="1"/>
        <v>247.09489969239431</v>
      </c>
      <c r="L26" s="68">
        <f t="shared" si="2"/>
        <v>451.94176013326614</v>
      </c>
      <c r="M26" s="76">
        <f t="shared" si="17"/>
        <v>1991</v>
      </c>
      <c r="N26" s="90">
        <v>596377769</v>
      </c>
      <c r="O26" s="70">
        <f t="shared" si="18"/>
        <v>81.650000000000006</v>
      </c>
      <c r="P26" s="70">
        <f t="shared" si="19"/>
        <v>0.4</v>
      </c>
      <c r="Q26" s="70">
        <f t="shared" si="20"/>
        <v>0.18</v>
      </c>
      <c r="R26" s="74">
        <f t="shared" si="27"/>
        <v>0</v>
      </c>
      <c r="S26" s="74">
        <f t="shared" si="28"/>
        <v>0</v>
      </c>
      <c r="T26" s="74"/>
      <c r="U26" s="18">
        <f t="shared" si="31"/>
        <v>365</v>
      </c>
      <c r="V26" s="77">
        <f t="shared" si="21"/>
        <v>519687000000</v>
      </c>
      <c r="W26" s="77"/>
      <c r="X26" s="76">
        <f t="shared" si="22"/>
        <v>1991</v>
      </c>
      <c r="Y26" s="67">
        <f t="shared" si="23"/>
        <v>1.1475710745121584E-3</v>
      </c>
      <c r="Z26" s="68">
        <f t="shared" si="24"/>
        <v>71146.327849986876</v>
      </c>
      <c r="AA26" s="50">
        <f t="shared" si="25"/>
        <v>7304481</v>
      </c>
      <c r="AB26" s="66">
        <f t="shared" si="26"/>
        <v>596377769</v>
      </c>
      <c r="AC26" s="74"/>
      <c r="AD26" s="88">
        <f t="shared" si="3"/>
        <v>1993</v>
      </c>
      <c r="AE26" s="84">
        <f t="shared" si="4"/>
        <v>-2.9283420766941926</v>
      </c>
      <c r="AF26" s="87">
        <f t="shared" si="5"/>
        <v>74.764866572346349</v>
      </c>
      <c r="AG26" s="86">
        <f t="shared" si="6"/>
        <v>8.8507208667790653</v>
      </c>
      <c r="AH26" s="75">
        <f t="shared" si="7"/>
        <v>8.8348698178703806</v>
      </c>
      <c r="AI26" s="28">
        <f t="shared" si="8"/>
        <v>683706671.77360606</v>
      </c>
      <c r="AO26" s="85">
        <v>1994</v>
      </c>
      <c r="AP26" s="84">
        <f t="shared" si="9"/>
        <v>0.23628265709340637</v>
      </c>
      <c r="AQ26" s="84">
        <f t="shared" si="29"/>
        <v>-6.4196352001643824</v>
      </c>
      <c r="AR26" s="84">
        <f t="shared" si="30"/>
        <v>-6.4196352001643824</v>
      </c>
      <c r="AS26" s="34">
        <f t="shared" si="10"/>
        <v>8723813.9999998808</v>
      </c>
      <c r="AT26" s="28"/>
      <c r="AW26" s="85">
        <f t="shared" si="11"/>
        <v>1996</v>
      </c>
      <c r="AX26" s="84">
        <f t="shared" si="12"/>
        <v>5.3234378069772201E-2</v>
      </c>
      <c r="AY26" s="84">
        <f t="shared" si="13"/>
        <v>-1.0574018727404182</v>
      </c>
      <c r="AZ26" s="135">
        <f t="shared" si="14"/>
        <v>-7598180</v>
      </c>
      <c r="BA26" s="136">
        <f t="shared" si="15"/>
        <v>29053291.236961119</v>
      </c>
    </row>
    <row r="27" spans="2:53" ht="15" x14ac:dyDescent="0.25">
      <c r="B27" s="78">
        <v>1992</v>
      </c>
      <c r="C27" s="78">
        <v>1368.6</v>
      </c>
      <c r="D27" s="78">
        <v>186.9</v>
      </c>
      <c r="E27" s="28">
        <f t="shared" si="0"/>
        <v>7322632.4237560192</v>
      </c>
      <c r="F27" s="18">
        <v>1992</v>
      </c>
      <c r="G27" s="50">
        <v>7304895</v>
      </c>
      <c r="H27" s="68">
        <f t="shared" si="16"/>
        <v>187.35382233420194</v>
      </c>
      <c r="J27" s="18">
        <v>1804.9</v>
      </c>
      <c r="K27" s="68">
        <f t="shared" si="1"/>
        <v>247.08089575551736</v>
      </c>
      <c r="L27" s="68">
        <f t="shared" si="2"/>
        <v>434.4347180897193</v>
      </c>
      <c r="M27" s="76">
        <f t="shared" si="17"/>
        <v>1992</v>
      </c>
      <c r="N27" s="90">
        <v>644123974</v>
      </c>
      <c r="O27" s="70">
        <f t="shared" si="18"/>
        <v>88.18</v>
      </c>
      <c r="P27" s="70">
        <f t="shared" si="19"/>
        <v>0.47</v>
      </c>
      <c r="Q27" s="70">
        <f t="shared" si="20"/>
        <v>0.2</v>
      </c>
      <c r="R27" s="74">
        <f t="shared" si="27"/>
        <v>0.17499999999999982</v>
      </c>
      <c r="S27" s="74">
        <f t="shared" si="28"/>
        <v>0.11111111111111116</v>
      </c>
      <c r="T27" s="74"/>
      <c r="U27" s="18">
        <f t="shared" si="31"/>
        <v>365</v>
      </c>
      <c r="V27" s="77">
        <f t="shared" si="21"/>
        <v>546149500000</v>
      </c>
      <c r="W27" s="77"/>
      <c r="X27" s="76">
        <f t="shared" si="22"/>
        <v>1992</v>
      </c>
      <c r="Y27" s="67">
        <f t="shared" si="23"/>
        <v>1.1793913095223926E-3</v>
      </c>
      <c r="Z27" s="68">
        <f t="shared" si="24"/>
        <v>74764.866572346349</v>
      </c>
      <c r="AA27" s="50">
        <f t="shared" si="25"/>
        <v>7304895</v>
      </c>
      <c r="AB27" s="66">
        <f t="shared" si="26"/>
        <v>644123974</v>
      </c>
      <c r="AC27" s="74"/>
      <c r="AD27" s="88">
        <f t="shared" si="3"/>
        <v>1994</v>
      </c>
      <c r="AE27" s="84">
        <f t="shared" si="4"/>
        <v>-2.8490367542756379</v>
      </c>
      <c r="AF27" s="87">
        <f t="shared" si="5"/>
        <v>68.345231372181971</v>
      </c>
      <c r="AG27" s="86">
        <f t="shared" si="6"/>
        <v>8.8560310808545228</v>
      </c>
      <c r="AH27" s="75">
        <f t="shared" si="7"/>
        <v>8.8790298977194801</v>
      </c>
      <c r="AI27" s="28">
        <f t="shared" si="8"/>
        <v>756884998.73726439</v>
      </c>
      <c r="AO27" s="85">
        <v>1995</v>
      </c>
      <c r="AP27" s="84">
        <f t="shared" si="9"/>
        <v>2.1447295039548092E-2</v>
      </c>
      <c r="AQ27" s="84">
        <f t="shared" si="29"/>
        <v>-2.3647451189064013</v>
      </c>
      <c r="AR27" s="84">
        <f t="shared" si="30"/>
        <v>-2.3647451189064013</v>
      </c>
      <c r="AS27" s="34">
        <f t="shared" si="10"/>
        <v>20715723</v>
      </c>
      <c r="AT27" s="28"/>
      <c r="AW27" s="85">
        <f t="shared" si="11"/>
        <v>1997</v>
      </c>
      <c r="AX27" s="84">
        <f t="shared" si="12"/>
        <v>1.6144495681229623E-2</v>
      </c>
      <c r="AY27" s="84">
        <f t="shared" si="13"/>
        <v>-1.8862223185493421</v>
      </c>
      <c r="AZ27" s="135">
        <f t="shared" si="14"/>
        <v>44355052</v>
      </c>
      <c r="BA27" s="136">
        <f t="shared" si="15"/>
        <v>17480858.322165489</v>
      </c>
    </row>
    <row r="28" spans="2:53" ht="15" x14ac:dyDescent="0.25">
      <c r="B28" s="78">
        <v>1993</v>
      </c>
      <c r="C28" s="78">
        <v>1368.5</v>
      </c>
      <c r="D28" s="78">
        <v>186.9</v>
      </c>
      <c r="E28" s="28">
        <f t="shared" si="0"/>
        <v>7322097.3782771537</v>
      </c>
      <c r="F28" s="18">
        <v>1993</v>
      </c>
      <c r="G28" s="50">
        <v>7329079</v>
      </c>
      <c r="H28" s="68">
        <f t="shared" si="16"/>
        <v>186.72196056284835</v>
      </c>
      <c r="J28" s="18">
        <v>1804.9</v>
      </c>
      <c r="K28" s="68">
        <f t="shared" si="1"/>
        <v>246.26559489944097</v>
      </c>
      <c r="L28" s="68">
        <f t="shared" si="2"/>
        <v>432.98755546228932</v>
      </c>
      <c r="M28" s="76">
        <f t="shared" si="17"/>
        <v>1993</v>
      </c>
      <c r="N28" s="90">
        <v>709121849</v>
      </c>
      <c r="O28" s="70">
        <f t="shared" si="18"/>
        <v>96.75</v>
      </c>
      <c r="P28" s="70">
        <f t="shared" si="19"/>
        <v>0.52</v>
      </c>
      <c r="Q28" s="70">
        <f t="shared" si="20"/>
        <v>0.22</v>
      </c>
      <c r="R28" s="74">
        <f t="shared" si="27"/>
        <v>0.1063829787234043</v>
      </c>
      <c r="S28" s="74">
        <f t="shared" si="28"/>
        <v>9.9999999999999867E-2</v>
      </c>
      <c r="T28" s="74"/>
      <c r="U28" s="18">
        <f t="shared" si="31"/>
        <v>366</v>
      </c>
      <c r="V28" s="77">
        <f t="shared" si="21"/>
        <v>500907600000</v>
      </c>
      <c r="W28" s="77"/>
      <c r="X28" s="76">
        <f t="shared" si="22"/>
        <v>1993</v>
      </c>
      <c r="Y28" s="67">
        <f t="shared" si="23"/>
        <v>1.415673966615799E-3</v>
      </c>
      <c r="Z28" s="68">
        <f t="shared" si="24"/>
        <v>68345.231372181966</v>
      </c>
      <c r="AA28" s="50">
        <f t="shared" si="25"/>
        <v>7329079</v>
      </c>
      <c r="AB28" s="66">
        <f t="shared" si="26"/>
        <v>709121849.00000012</v>
      </c>
      <c r="AC28" s="74"/>
      <c r="AD28" s="88">
        <f t="shared" si="3"/>
        <v>1995</v>
      </c>
      <c r="AE28" s="84">
        <f t="shared" si="4"/>
        <v>-2.8425065853480942</v>
      </c>
      <c r="AF28" s="87">
        <f t="shared" si="5"/>
        <v>65.980486253275572</v>
      </c>
      <c r="AG28" s="86">
        <f t="shared" si="6"/>
        <v>8.8683865978106233</v>
      </c>
      <c r="AH28" s="75">
        <f t="shared" si="7"/>
        <v>8.8729155513458959</v>
      </c>
      <c r="AI28" s="28">
        <f t="shared" si="8"/>
        <v>746303625.40173042</v>
      </c>
      <c r="AO28" s="85">
        <v>1996</v>
      </c>
      <c r="AP28" s="84">
        <f t="shared" si="9"/>
        <v>5.3234378069772201E-2</v>
      </c>
      <c r="AQ28" s="84">
        <f t="shared" si="29"/>
        <v>-1.0574018727404182</v>
      </c>
      <c r="AR28" s="84">
        <f t="shared" si="30"/>
        <v>-1.0574018727404182</v>
      </c>
      <c r="AS28" s="34">
        <f t="shared" si="10"/>
        <v>-7598180</v>
      </c>
      <c r="AT28" s="28"/>
      <c r="AW28" s="85">
        <f t="shared" si="11"/>
        <v>1998</v>
      </c>
      <c r="AX28" s="84">
        <f t="shared" si="12"/>
        <v>0.13011255506202624</v>
      </c>
      <c r="AY28" s="84">
        <f t="shared" si="13"/>
        <v>-2.0943041761172134</v>
      </c>
      <c r="AZ28" s="135">
        <f t="shared" si="14"/>
        <v>47481906</v>
      </c>
      <c r="BA28" s="136">
        <f t="shared" si="15"/>
        <v>28555496.539329518</v>
      </c>
    </row>
    <row r="29" spans="2:53" ht="15" x14ac:dyDescent="0.25">
      <c r="B29" s="78">
        <v>1994</v>
      </c>
      <c r="C29" s="78">
        <v>1357.7</v>
      </c>
      <c r="D29" s="78">
        <v>185.4</v>
      </c>
      <c r="E29" s="28">
        <f t="shared" si="0"/>
        <v>7323085.2211434729</v>
      </c>
      <c r="F29" s="18">
        <v>1994</v>
      </c>
      <c r="G29" s="50">
        <v>7570458</v>
      </c>
      <c r="H29" s="68">
        <f t="shared" si="16"/>
        <v>179.34185752037723</v>
      </c>
      <c r="J29" s="18">
        <v>1804.9</v>
      </c>
      <c r="K29" s="68">
        <f t="shared" si="1"/>
        <v>238.41358078996012</v>
      </c>
      <c r="L29" s="68">
        <f t="shared" si="2"/>
        <v>417.75543831033735</v>
      </c>
      <c r="M29" s="76">
        <f t="shared" si="17"/>
        <v>1994</v>
      </c>
      <c r="N29" s="90">
        <v>717845663</v>
      </c>
      <c r="O29" s="70">
        <f t="shared" si="18"/>
        <v>94.82</v>
      </c>
      <c r="P29" s="70">
        <f t="shared" si="19"/>
        <v>0.53</v>
      </c>
      <c r="Q29" s="70">
        <f t="shared" si="20"/>
        <v>0.23</v>
      </c>
      <c r="R29" s="74">
        <f t="shared" si="27"/>
        <v>1.9230769230769162E-2</v>
      </c>
      <c r="S29" s="74">
        <f t="shared" si="28"/>
        <v>4.5454545454545414E-2</v>
      </c>
      <c r="T29" s="74"/>
      <c r="U29" s="18">
        <f t="shared" si="31"/>
        <v>365</v>
      </c>
      <c r="V29" s="77">
        <f t="shared" si="21"/>
        <v>499502500000</v>
      </c>
      <c r="W29" s="77"/>
      <c r="X29" s="76">
        <f t="shared" si="22"/>
        <v>1994</v>
      </c>
      <c r="Y29" s="67">
        <f t="shared" si="23"/>
        <v>1.4371212616553471E-3</v>
      </c>
      <c r="Z29" s="68">
        <f t="shared" si="24"/>
        <v>65980.486253275565</v>
      </c>
      <c r="AA29" s="50">
        <f t="shared" si="25"/>
        <v>7570458</v>
      </c>
      <c r="AB29" s="66">
        <f t="shared" si="26"/>
        <v>717845663</v>
      </c>
      <c r="AC29" s="74"/>
      <c r="AD29" s="88">
        <f t="shared" si="3"/>
        <v>1996</v>
      </c>
      <c r="AE29" s="84">
        <f t="shared" si="4"/>
        <v>-2.8267100846478512</v>
      </c>
      <c r="AF29" s="87">
        <f t="shared" si="5"/>
        <v>64.923084380535144</v>
      </c>
      <c r="AG29" s="86">
        <f t="shared" si="6"/>
        <v>8.8638955167207421</v>
      </c>
      <c r="AH29" s="75">
        <f t="shared" si="7"/>
        <v>8.8828867952061454</v>
      </c>
      <c r="AI29" s="28">
        <f t="shared" si="8"/>
        <v>763636705.28583336</v>
      </c>
      <c r="AO29" s="85">
        <v>1997</v>
      </c>
      <c r="AP29" s="84">
        <f t="shared" si="9"/>
        <v>1.6144495681229623E-2</v>
      </c>
      <c r="AQ29" s="84">
        <f t="shared" si="29"/>
        <v>-1.8862223185493421</v>
      </c>
      <c r="AR29" s="84">
        <f t="shared" si="30"/>
        <v>-1.8862223185493421</v>
      </c>
      <c r="AS29" s="34">
        <f t="shared" si="10"/>
        <v>44355052</v>
      </c>
      <c r="AT29" s="28"/>
      <c r="AW29" s="85">
        <f t="shared" si="11"/>
        <v>1999</v>
      </c>
      <c r="AX29" s="84">
        <f t="shared" si="12"/>
        <v>0.23335580779585904</v>
      </c>
      <c r="AY29" s="84">
        <f t="shared" si="13"/>
        <v>-4.9495574006466123</v>
      </c>
      <c r="AZ29" s="135">
        <f t="shared" si="14"/>
        <v>-45148202</v>
      </c>
      <c r="BA29" s="136">
        <f t="shared" si="15"/>
        <v>14886307.484532207</v>
      </c>
    </row>
    <row r="30" spans="2:53" ht="15" x14ac:dyDescent="0.25">
      <c r="B30" s="78">
        <v>1995</v>
      </c>
      <c r="C30" s="78">
        <v>1325.7</v>
      </c>
      <c r="D30" s="78">
        <v>181</v>
      </c>
      <c r="E30" s="28">
        <f t="shared" si="0"/>
        <v>7324309.3922651932</v>
      </c>
      <c r="F30" s="18">
        <v>1995</v>
      </c>
      <c r="G30" s="50">
        <v>7633040</v>
      </c>
      <c r="H30" s="68">
        <f t="shared" si="16"/>
        <v>173.67916321675244</v>
      </c>
      <c r="J30" s="18">
        <v>1804.9</v>
      </c>
      <c r="K30" s="68">
        <f t="shared" si="1"/>
        <v>236.45886828838837</v>
      </c>
      <c r="L30" s="68">
        <f t="shared" si="2"/>
        <v>410.13803150514082</v>
      </c>
      <c r="M30" s="76">
        <f t="shared" si="17"/>
        <v>1995</v>
      </c>
      <c r="N30" s="90">
        <v>738561386</v>
      </c>
      <c r="O30" s="70">
        <f t="shared" si="18"/>
        <v>96.76</v>
      </c>
      <c r="P30" s="70">
        <f t="shared" si="19"/>
        <v>0.56000000000000005</v>
      </c>
      <c r="Q30" s="70">
        <f t="shared" si="20"/>
        <v>0.24</v>
      </c>
      <c r="R30" s="74">
        <f t="shared" si="27"/>
        <v>5.6603773584905648E-2</v>
      </c>
      <c r="S30" s="74">
        <f t="shared" si="28"/>
        <v>4.3478260869565188E-2</v>
      </c>
      <c r="T30" s="74"/>
      <c r="U30" s="18">
        <f t="shared" si="31"/>
        <v>365</v>
      </c>
      <c r="V30" s="77">
        <f t="shared" si="21"/>
        <v>495560500000</v>
      </c>
      <c r="W30" s="77"/>
      <c r="X30" s="76">
        <f t="shared" si="22"/>
        <v>1995</v>
      </c>
      <c r="Y30" s="67">
        <f t="shared" si="23"/>
        <v>1.4903556397251193E-3</v>
      </c>
      <c r="Z30" s="68">
        <f t="shared" si="24"/>
        <v>64923.084380535147</v>
      </c>
      <c r="AA30" s="50">
        <f t="shared" si="25"/>
        <v>7633040</v>
      </c>
      <c r="AB30" s="66">
        <f t="shared" si="26"/>
        <v>738561386</v>
      </c>
      <c r="AC30" s="74"/>
      <c r="AD30" s="88">
        <f t="shared" si="3"/>
        <v>1997</v>
      </c>
      <c r="AE30" s="84">
        <f t="shared" si="4"/>
        <v>-2.8220308249556241</v>
      </c>
      <c r="AF30" s="87">
        <f t="shared" si="5"/>
        <v>63.036862061985808</v>
      </c>
      <c r="AG30" s="86">
        <f t="shared" si="6"/>
        <v>8.8894800113076808</v>
      </c>
      <c r="AH30" s="75">
        <f t="shared" si="7"/>
        <v>8.8774872871291031</v>
      </c>
      <c r="AI30" s="28">
        <f t="shared" si="8"/>
        <v>754201318.19123042</v>
      </c>
      <c r="AO30" s="85">
        <v>1998</v>
      </c>
      <c r="AP30" s="84">
        <f t="shared" si="9"/>
        <v>0.13011255506202624</v>
      </c>
      <c r="AQ30" s="84">
        <f t="shared" si="29"/>
        <v>-2.0943041761172134</v>
      </c>
      <c r="AR30" s="84">
        <f t="shared" si="30"/>
        <v>-2.0943041761172134</v>
      </c>
      <c r="AS30" s="34">
        <f t="shared" si="10"/>
        <v>47481906</v>
      </c>
      <c r="AT30" s="28"/>
      <c r="AW30" s="85">
        <f t="shared" si="11"/>
        <v>2000</v>
      </c>
      <c r="AX30" s="84">
        <f t="shared" si="12"/>
        <v>-0.12767072326462622</v>
      </c>
      <c r="AY30" s="84">
        <f t="shared" si="13"/>
        <v>0.16654836311828694</v>
      </c>
      <c r="AZ30" s="135">
        <f t="shared" si="14"/>
        <v>23603156</v>
      </c>
      <c r="BA30" s="136">
        <f t="shared" si="15"/>
        <v>19416831.383828301</v>
      </c>
    </row>
    <row r="31" spans="2:53" ht="15" x14ac:dyDescent="0.25">
      <c r="B31" s="78">
        <v>1996</v>
      </c>
      <c r="C31" s="78">
        <v>1297.9000000000001</v>
      </c>
      <c r="D31" s="78">
        <v>177.2</v>
      </c>
      <c r="E31" s="28">
        <f t="shared" si="0"/>
        <v>7324492.0993227996</v>
      </c>
      <c r="F31" s="18">
        <v>1996</v>
      </c>
      <c r="G31" s="50">
        <v>7697182</v>
      </c>
      <c r="H31" s="68">
        <f t="shared" si="16"/>
        <v>168.62015215438586</v>
      </c>
      <c r="J31" s="18">
        <v>1804.9</v>
      </c>
      <c r="K31" s="68">
        <f t="shared" si="1"/>
        <v>234.48841407153944</v>
      </c>
      <c r="L31" s="68">
        <f t="shared" si="2"/>
        <v>403.1085662259253</v>
      </c>
      <c r="M31" s="76">
        <f t="shared" si="17"/>
        <v>1996</v>
      </c>
      <c r="N31" s="90">
        <v>730963206</v>
      </c>
      <c r="O31" s="70">
        <f t="shared" si="18"/>
        <v>94.97</v>
      </c>
      <c r="P31" s="70">
        <f t="shared" si="19"/>
        <v>0.56000000000000005</v>
      </c>
      <c r="Q31" s="70">
        <f t="shared" si="20"/>
        <v>0.24</v>
      </c>
      <c r="R31" s="74">
        <f t="shared" si="27"/>
        <v>0</v>
      </c>
      <c r="S31" s="74">
        <f t="shared" si="28"/>
        <v>0</v>
      </c>
      <c r="T31" s="74"/>
      <c r="U31" s="18">
        <f t="shared" si="31"/>
        <v>366</v>
      </c>
      <c r="V31" s="77">
        <f t="shared" si="21"/>
        <v>485206200000</v>
      </c>
      <c r="W31" s="77"/>
      <c r="X31" s="76">
        <f t="shared" si="22"/>
        <v>1996</v>
      </c>
      <c r="Y31" s="67">
        <f t="shared" si="23"/>
        <v>1.5065001354063489E-3</v>
      </c>
      <c r="Z31" s="68">
        <f t="shared" si="24"/>
        <v>63036.862061985805</v>
      </c>
      <c r="AA31" s="50">
        <f t="shared" si="25"/>
        <v>7697182</v>
      </c>
      <c r="AB31" s="66">
        <f t="shared" si="26"/>
        <v>730963206</v>
      </c>
      <c r="AC31" s="74"/>
      <c r="AD31" s="88">
        <f t="shared" si="3"/>
        <v>1998</v>
      </c>
      <c r="AE31" s="84">
        <f t="shared" si="4"/>
        <v>-2.7860540855813931</v>
      </c>
      <c r="AF31" s="87">
        <f t="shared" si="5"/>
        <v>60.942557885868588</v>
      </c>
      <c r="AG31" s="86">
        <f t="shared" si="6"/>
        <v>8.9152943695859914</v>
      </c>
      <c r="AH31" s="75">
        <f t="shared" si="7"/>
        <v>8.9018640791544996</v>
      </c>
      <c r="AI31" s="28">
        <f t="shared" si="8"/>
        <v>797744978.49681294</v>
      </c>
      <c r="AO31" s="85">
        <v>1999</v>
      </c>
      <c r="AP31" s="84">
        <f t="shared" si="9"/>
        <v>0.23335580779585904</v>
      </c>
      <c r="AQ31" s="84">
        <f t="shared" si="29"/>
        <v>-4.9495574006466123</v>
      </c>
      <c r="AR31" s="84">
        <f t="shared" si="30"/>
        <v>-4.9495574006466123</v>
      </c>
      <c r="AS31" s="34">
        <f t="shared" si="10"/>
        <v>-45148202</v>
      </c>
      <c r="AT31" s="28"/>
      <c r="AW31" s="85">
        <f t="shared" si="11"/>
        <v>2001</v>
      </c>
      <c r="AX31" s="84">
        <f t="shared" si="12"/>
        <v>3.2047117798535356E-2</v>
      </c>
      <c r="AY31" s="84">
        <f t="shared" si="13"/>
        <v>0.15714497620099427</v>
      </c>
      <c r="AZ31" s="135">
        <f t="shared" si="14"/>
        <v>41269825</v>
      </c>
      <c r="BA31" s="136">
        <f t="shared" si="15"/>
        <v>37445340.074686386</v>
      </c>
    </row>
    <row r="32" spans="2:53" ht="15" x14ac:dyDescent="0.25">
      <c r="B32" s="78">
        <v>1997</v>
      </c>
      <c r="C32" s="78">
        <v>1205.5</v>
      </c>
      <c r="D32" s="78">
        <v>164.6</v>
      </c>
      <c r="E32" s="28">
        <f t="shared" si="0"/>
        <v>7323815.3098420417</v>
      </c>
      <c r="F32" s="18">
        <v>1997</v>
      </c>
      <c r="G32" s="50">
        <v>7773443</v>
      </c>
      <c r="H32" s="68">
        <f t="shared" si="16"/>
        <v>155.07928726048419</v>
      </c>
      <c r="J32" s="18">
        <v>1804.9</v>
      </c>
      <c r="K32" s="68">
        <f t="shared" si="1"/>
        <v>232.18797642177347</v>
      </c>
      <c r="L32" s="68">
        <f t="shared" si="2"/>
        <v>387.26726368225764</v>
      </c>
      <c r="M32" s="76">
        <f t="shared" si="17"/>
        <v>1997</v>
      </c>
      <c r="N32" s="90">
        <v>775318258</v>
      </c>
      <c r="O32" s="70">
        <f t="shared" si="18"/>
        <v>99.74</v>
      </c>
      <c r="P32" s="70">
        <f t="shared" si="19"/>
        <v>0.64</v>
      </c>
      <c r="Q32" s="70">
        <f t="shared" si="20"/>
        <v>0.26</v>
      </c>
      <c r="R32" s="74">
        <f t="shared" si="27"/>
        <v>0.14285714285714279</v>
      </c>
      <c r="S32" s="74">
        <f t="shared" si="28"/>
        <v>8.3333333333333481E-2</v>
      </c>
      <c r="T32" s="74"/>
      <c r="U32" s="18">
        <f t="shared" si="31"/>
        <v>365</v>
      </c>
      <c r="V32" s="77">
        <f t="shared" si="21"/>
        <v>473733500000</v>
      </c>
      <c r="W32" s="77"/>
      <c r="X32" s="76">
        <f t="shared" si="22"/>
        <v>1997</v>
      </c>
      <c r="Y32" s="67">
        <f t="shared" si="23"/>
        <v>1.6366126904683751E-3</v>
      </c>
      <c r="Z32" s="68">
        <f t="shared" si="24"/>
        <v>60942.557885868591</v>
      </c>
      <c r="AA32" s="50">
        <f t="shared" si="25"/>
        <v>7773443</v>
      </c>
      <c r="AB32" s="66">
        <f t="shared" si="26"/>
        <v>775318258</v>
      </c>
      <c r="AC32" s="74"/>
      <c r="AD32" s="88">
        <f t="shared" si="3"/>
        <v>1999</v>
      </c>
      <c r="AE32" s="84">
        <f t="shared" si="4"/>
        <v>-2.7281657095839549</v>
      </c>
      <c r="AF32" s="87">
        <f t="shared" si="5"/>
        <v>55.993000485221977</v>
      </c>
      <c r="AG32" s="86">
        <f t="shared" si="6"/>
        <v>8.8907852720518417</v>
      </c>
      <c r="AH32" s="75">
        <f t="shared" si="7"/>
        <v>8.9326986720035961</v>
      </c>
      <c r="AI32" s="28">
        <f t="shared" si="8"/>
        <v>856443410.03222251</v>
      </c>
      <c r="AO32" s="85">
        <v>2000</v>
      </c>
      <c r="AP32" s="84">
        <f t="shared" si="9"/>
        <v>-0.12767072326462622</v>
      </c>
      <c r="AQ32" s="84">
        <f t="shared" si="29"/>
        <v>0.16654836311828694</v>
      </c>
      <c r="AR32" s="84">
        <f t="shared" si="30"/>
        <v>0.16654836311828694</v>
      </c>
      <c r="AS32" s="34">
        <f t="shared" si="10"/>
        <v>23603156</v>
      </c>
      <c r="AT32" s="28"/>
      <c r="AW32" s="85">
        <f t="shared" si="11"/>
        <v>2002</v>
      </c>
      <c r="AX32" s="84">
        <f t="shared" si="12"/>
        <v>8.6576999388645728E-2</v>
      </c>
      <c r="AY32" s="84">
        <f t="shared" si="13"/>
        <v>-0.16658748255550745</v>
      </c>
      <c r="AZ32" s="135">
        <f t="shared" si="14"/>
        <v>15381660</v>
      </c>
      <c r="BA32" s="136">
        <f t="shared" si="15"/>
        <v>40751774.938097581</v>
      </c>
    </row>
    <row r="33" spans="2:53" ht="15" x14ac:dyDescent="0.25">
      <c r="B33" s="78">
        <v>1998</v>
      </c>
      <c r="C33" s="78">
        <v>1219.5</v>
      </c>
      <c r="D33" s="78">
        <v>166.5</v>
      </c>
      <c r="E33" s="28">
        <f t="shared" si="0"/>
        <v>7324324.3243243247</v>
      </c>
      <c r="F33" s="18">
        <v>1998</v>
      </c>
      <c r="G33" s="50">
        <v>7858259</v>
      </c>
      <c r="H33" s="68">
        <f t="shared" si="16"/>
        <v>155.18704588382744</v>
      </c>
      <c r="J33" s="18">
        <v>1804.9</v>
      </c>
      <c r="K33" s="68">
        <f t="shared" si="1"/>
        <v>229.68191809407148</v>
      </c>
      <c r="L33" s="68">
        <f t="shared" si="2"/>
        <v>384.86896397789894</v>
      </c>
      <c r="M33" s="76">
        <f t="shared" si="17"/>
        <v>1998</v>
      </c>
      <c r="N33" s="90">
        <v>822800164</v>
      </c>
      <c r="O33" s="70">
        <f t="shared" si="18"/>
        <v>104.71</v>
      </c>
      <c r="P33" s="70">
        <f t="shared" si="19"/>
        <v>0.67</v>
      </c>
      <c r="Q33" s="70">
        <f t="shared" si="20"/>
        <v>0.27</v>
      </c>
      <c r="R33" s="74">
        <f t="shared" si="27"/>
        <v>4.6875E-2</v>
      </c>
      <c r="S33" s="74">
        <f t="shared" si="28"/>
        <v>3.8461538461538547E-2</v>
      </c>
      <c r="T33" s="74"/>
      <c r="U33" s="18">
        <f t="shared" si="31"/>
        <v>365</v>
      </c>
      <c r="V33" s="77">
        <f t="shared" si="21"/>
        <v>440007500000</v>
      </c>
      <c r="W33" s="77"/>
      <c r="X33" s="76">
        <f t="shared" si="22"/>
        <v>1998</v>
      </c>
      <c r="Y33" s="67">
        <f t="shared" si="23"/>
        <v>1.8699684982642342E-3</v>
      </c>
      <c r="Z33" s="68">
        <f t="shared" si="24"/>
        <v>55993.000485221979</v>
      </c>
      <c r="AA33" s="50">
        <f t="shared" si="25"/>
        <v>7858259</v>
      </c>
      <c r="AB33" s="66">
        <f t="shared" si="26"/>
        <v>822800164</v>
      </c>
      <c r="AC33" s="74"/>
      <c r="AD33" s="88">
        <f t="shared" si="3"/>
        <v>2000</v>
      </c>
      <c r="AE33" s="84">
        <f t="shared" si="4"/>
        <v>-2.7588776179923191</v>
      </c>
      <c r="AF33" s="87">
        <f t="shared" si="5"/>
        <v>56.159548848340265</v>
      </c>
      <c r="AG33" s="86">
        <f t="shared" si="6"/>
        <v>8.9037708165824867</v>
      </c>
      <c r="AH33" s="75">
        <f t="shared" si="7"/>
        <v>8.9032795980259767</v>
      </c>
      <c r="AI33" s="28">
        <f t="shared" si="8"/>
        <v>800349352.68970942</v>
      </c>
      <c r="AO33" s="85">
        <v>2001</v>
      </c>
      <c r="AP33" s="84">
        <f t="shared" si="9"/>
        <v>3.2047117798535356E-2</v>
      </c>
      <c r="AQ33" s="84">
        <f t="shared" si="29"/>
        <v>0.15714497620099427</v>
      </c>
      <c r="AR33" s="84">
        <f t="shared" si="30"/>
        <v>0.15714497620099427</v>
      </c>
      <c r="AS33" s="34">
        <f t="shared" si="10"/>
        <v>41269825</v>
      </c>
      <c r="AT33" s="28"/>
      <c r="AW33" s="85">
        <f t="shared" si="11"/>
        <v>2003</v>
      </c>
      <c r="AX33" s="84">
        <f t="shared" si="12"/>
        <v>0.11881384431815853</v>
      </c>
      <c r="AY33" s="84">
        <f t="shared" si="13"/>
        <v>-2.4652698702315394</v>
      </c>
      <c r="AZ33" s="135">
        <f t="shared" si="14"/>
        <v>-11554856.000000119</v>
      </c>
      <c r="BA33" s="136">
        <f t="shared" si="15"/>
        <v>23977134.211774655</v>
      </c>
    </row>
    <row r="34" spans="2:53" ht="15" x14ac:dyDescent="0.25">
      <c r="B34" s="78">
        <v>1999</v>
      </c>
      <c r="C34" s="78">
        <v>1237.2</v>
      </c>
      <c r="D34" s="78">
        <v>168.9</v>
      </c>
      <c r="E34" s="28">
        <f t="shared" si="0"/>
        <v>7325044.404973357</v>
      </c>
      <c r="F34" s="18">
        <v>1999</v>
      </c>
      <c r="G34" s="50">
        <v>7947660</v>
      </c>
      <c r="H34" s="68">
        <f t="shared" si="16"/>
        <v>155.66846090547406</v>
      </c>
      <c r="J34" s="18">
        <v>1804.9</v>
      </c>
      <c r="K34" s="68">
        <f t="shared" si="1"/>
        <v>227.09829056602823</v>
      </c>
      <c r="L34" s="68">
        <f t="shared" si="2"/>
        <v>382.76675147150229</v>
      </c>
      <c r="M34" s="76">
        <f t="shared" si="17"/>
        <v>1999</v>
      </c>
      <c r="N34" s="90">
        <v>777651962</v>
      </c>
      <c r="O34" s="70">
        <f t="shared" si="18"/>
        <v>97.85</v>
      </c>
      <c r="P34" s="70">
        <f t="shared" si="19"/>
        <v>0.63</v>
      </c>
      <c r="Q34" s="70">
        <f t="shared" si="20"/>
        <v>0.26</v>
      </c>
      <c r="R34" s="74">
        <f t="shared" si="27"/>
        <v>-5.9701492537313494E-2</v>
      </c>
      <c r="S34" s="74">
        <f t="shared" si="28"/>
        <v>-3.703703703703709E-2</v>
      </c>
      <c r="T34" s="74"/>
      <c r="U34" s="18">
        <f t="shared" si="31"/>
        <v>366</v>
      </c>
      <c r="V34" s="77">
        <f t="shared" si="21"/>
        <v>446337000000</v>
      </c>
      <c r="W34" s="77"/>
      <c r="X34" s="76">
        <f t="shared" si="22"/>
        <v>1999</v>
      </c>
      <c r="Y34" s="67">
        <f t="shared" si="23"/>
        <v>1.742297774999608E-3</v>
      </c>
      <c r="Z34" s="68">
        <f t="shared" si="24"/>
        <v>56159.548848340266</v>
      </c>
      <c r="AA34" s="50">
        <f t="shared" si="25"/>
        <v>7947660</v>
      </c>
      <c r="AB34" s="66">
        <f t="shared" si="26"/>
        <v>777651962</v>
      </c>
      <c r="AC34" s="74"/>
      <c r="AD34" s="88">
        <f t="shared" si="3"/>
        <v>2001</v>
      </c>
      <c r="AE34" s="84">
        <f t="shared" si="4"/>
        <v>-2.7509619592051298</v>
      </c>
      <c r="AF34" s="87">
        <f t="shared" si="5"/>
        <v>56.316693824541261</v>
      </c>
      <c r="AG34" s="86">
        <f t="shared" si="6"/>
        <v>8.9255827670471284</v>
      </c>
      <c r="AH34" s="75">
        <f t="shared" si="7"/>
        <v>8.9119244944734675</v>
      </c>
      <c r="AI34" s="28">
        <f t="shared" si="8"/>
        <v>816440414.40299654</v>
      </c>
      <c r="AO34" s="85">
        <v>2002</v>
      </c>
      <c r="AP34" s="84">
        <f t="shared" si="9"/>
        <v>8.6576999388645728E-2</v>
      </c>
      <c r="AQ34" s="84">
        <f t="shared" si="29"/>
        <v>-0.16658748255550745</v>
      </c>
      <c r="AR34" s="84">
        <f t="shared" si="30"/>
        <v>-0.16658748255550745</v>
      </c>
      <c r="AS34" s="34">
        <f t="shared" si="10"/>
        <v>15381660</v>
      </c>
      <c r="AT34" s="28"/>
      <c r="AW34" s="85">
        <f t="shared" si="11"/>
        <v>2004</v>
      </c>
      <c r="AX34" s="84">
        <f t="shared" si="12"/>
        <v>6.2155694975363218E-2</v>
      </c>
      <c r="AY34" s="84">
        <f t="shared" si="13"/>
        <v>-2.3102393405681143</v>
      </c>
      <c r="AZ34" s="135">
        <f t="shared" si="14"/>
        <v>38393235.000000238</v>
      </c>
      <c r="BA34" s="136">
        <f t="shared" si="15"/>
        <v>18929957.383337256</v>
      </c>
    </row>
    <row r="35" spans="2:53" ht="15" x14ac:dyDescent="0.25">
      <c r="B35" s="78">
        <v>2000</v>
      </c>
      <c r="C35" s="78">
        <v>1240.4000000000001</v>
      </c>
      <c r="D35" s="78">
        <v>169.4</v>
      </c>
      <c r="E35" s="28">
        <f t="shared" si="0"/>
        <v>7322314.0495867766</v>
      </c>
      <c r="F35" s="18">
        <v>2000</v>
      </c>
      <c r="G35" s="50">
        <v>8018546</v>
      </c>
      <c r="H35" s="68">
        <f t="shared" si="16"/>
        <v>154.69138669279943</v>
      </c>
      <c r="J35" s="18">
        <v>1804.9</v>
      </c>
      <c r="K35" s="68">
        <f t="shared" si="1"/>
        <v>225.09068352292297</v>
      </c>
      <c r="L35" s="68">
        <f t="shared" si="2"/>
        <v>379.7820702157224</v>
      </c>
      <c r="M35" s="76">
        <f t="shared" si="17"/>
        <v>2000</v>
      </c>
      <c r="N35" s="90">
        <v>801255118</v>
      </c>
      <c r="O35" s="70">
        <f t="shared" si="18"/>
        <v>99.93</v>
      </c>
      <c r="P35" s="70">
        <f t="shared" si="19"/>
        <v>0.65</v>
      </c>
      <c r="Q35" s="70">
        <f t="shared" si="20"/>
        <v>0.26</v>
      </c>
      <c r="R35" s="74">
        <f t="shared" si="27"/>
        <v>3.1746031746031855E-2</v>
      </c>
      <c r="S35" s="74">
        <f t="shared" si="28"/>
        <v>0</v>
      </c>
      <c r="T35" s="74"/>
      <c r="U35" s="18">
        <f t="shared" si="31"/>
        <v>365</v>
      </c>
      <c r="V35" s="77">
        <f t="shared" si="21"/>
        <v>451578000000</v>
      </c>
      <c r="W35" s="77"/>
      <c r="X35" s="76">
        <f t="shared" si="22"/>
        <v>2000</v>
      </c>
      <c r="Y35" s="67">
        <f t="shared" si="23"/>
        <v>1.7743448927981433E-3</v>
      </c>
      <c r="Z35" s="68">
        <f t="shared" si="24"/>
        <v>56316.69382454126</v>
      </c>
      <c r="AA35" s="50">
        <f t="shared" si="25"/>
        <v>8018546</v>
      </c>
      <c r="AB35" s="66">
        <f t="shared" si="26"/>
        <v>801255118</v>
      </c>
      <c r="AC35" s="74"/>
      <c r="AD35" s="88">
        <f t="shared" si="3"/>
        <v>2002</v>
      </c>
      <c r="AE35" s="84">
        <f t="shared" si="4"/>
        <v>-2.7302718549746356</v>
      </c>
      <c r="AF35" s="87">
        <f t="shared" si="5"/>
        <v>56.150106341985754</v>
      </c>
      <c r="AG35" s="86">
        <f t="shared" si="6"/>
        <v>8.9334400104482974</v>
      </c>
      <c r="AH35" s="75">
        <f t="shared" si="7"/>
        <v>8.9314548243823779</v>
      </c>
      <c r="AI35" s="28">
        <f t="shared" si="8"/>
        <v>853994009.74029434</v>
      </c>
      <c r="AO35" s="85">
        <v>2003</v>
      </c>
      <c r="AP35" s="84">
        <f t="shared" si="9"/>
        <v>0.11881384431815853</v>
      </c>
      <c r="AQ35" s="84">
        <f t="shared" si="29"/>
        <v>-2.4652698702315394</v>
      </c>
      <c r="AR35" s="84">
        <f t="shared" si="30"/>
        <v>-2.4652698702315394</v>
      </c>
      <c r="AS35" s="34">
        <f t="shared" si="10"/>
        <v>-11554856.000000119</v>
      </c>
      <c r="AT35" s="28"/>
      <c r="AW35" s="85">
        <f t="shared" si="11"/>
        <v>2005</v>
      </c>
      <c r="AX35" s="84">
        <f t="shared" si="12"/>
        <v>0.17440083769269896</v>
      </c>
      <c r="AY35" s="84">
        <f t="shared" si="13"/>
        <v>-1.74357201060847</v>
      </c>
      <c r="AZ35" s="135">
        <f t="shared" si="14"/>
        <v>14579060.999999881</v>
      </c>
      <c r="BA35" s="136">
        <f t="shared" si="15"/>
        <v>36695060.796164259</v>
      </c>
    </row>
    <row r="36" spans="2:53" ht="15" x14ac:dyDescent="0.25">
      <c r="B36" s="78">
        <v>2001</v>
      </c>
      <c r="C36" s="78">
        <v>1184</v>
      </c>
      <c r="D36" s="78">
        <v>154.6</v>
      </c>
      <c r="E36" s="28">
        <f t="shared" si="0"/>
        <v>7658473.4799482543</v>
      </c>
      <c r="F36" s="18">
        <v>2001</v>
      </c>
      <c r="G36" s="50">
        <v>8063137</v>
      </c>
      <c r="H36" s="68">
        <f t="shared" si="16"/>
        <v>146.84111159217559</v>
      </c>
      <c r="J36" s="18">
        <v>1804.9</v>
      </c>
      <c r="K36" s="68">
        <f t="shared" si="1"/>
        <v>223.84588033168728</v>
      </c>
      <c r="L36" s="68">
        <f t="shared" si="2"/>
        <v>370.68699192386288</v>
      </c>
      <c r="M36" s="76">
        <f t="shared" si="17"/>
        <v>2001</v>
      </c>
      <c r="N36" s="90">
        <v>842524943</v>
      </c>
      <c r="O36" s="70">
        <f t="shared" si="18"/>
        <v>104.49</v>
      </c>
      <c r="P36" s="70">
        <f t="shared" si="19"/>
        <v>0.71</v>
      </c>
      <c r="Q36" s="70">
        <f t="shared" si="20"/>
        <v>0.28000000000000003</v>
      </c>
      <c r="R36" s="74">
        <f t="shared" si="27"/>
        <v>9.2307692307692202E-2</v>
      </c>
      <c r="S36" s="74">
        <f t="shared" si="28"/>
        <v>7.6923076923077094E-2</v>
      </c>
      <c r="T36" s="74"/>
      <c r="U36" s="18">
        <f t="shared" si="31"/>
        <v>365</v>
      </c>
      <c r="V36" s="77">
        <f t="shared" si="21"/>
        <v>452746000000</v>
      </c>
      <c r="W36" s="77"/>
      <c r="X36" s="76">
        <f t="shared" si="22"/>
        <v>2001</v>
      </c>
      <c r="Y36" s="67">
        <f t="shared" si="23"/>
        <v>1.860921892186789E-3</v>
      </c>
      <c r="Z36" s="68">
        <f t="shared" si="24"/>
        <v>56150.106341985753</v>
      </c>
      <c r="AA36" s="50">
        <f t="shared" si="25"/>
        <v>8063137</v>
      </c>
      <c r="AB36" s="66">
        <f t="shared" si="26"/>
        <v>842524943</v>
      </c>
      <c r="AC36" s="74"/>
      <c r="AD36" s="88">
        <f t="shared" si="3"/>
        <v>2003</v>
      </c>
      <c r="AE36" s="84">
        <f t="shared" si="4"/>
        <v>-2.703392777333014</v>
      </c>
      <c r="AF36" s="87">
        <f t="shared" si="5"/>
        <v>53.684836471754217</v>
      </c>
      <c r="AG36" s="86">
        <f t="shared" si="6"/>
        <v>8.927550894992379</v>
      </c>
      <c r="AH36" s="75">
        <f t="shared" si="7"/>
        <v>8.9448849672878001</v>
      </c>
      <c r="AI36" s="28">
        <f t="shared" si="8"/>
        <v>880815538.19833052</v>
      </c>
      <c r="AO36" s="85">
        <v>2004</v>
      </c>
      <c r="AP36" s="84">
        <f t="shared" si="9"/>
        <v>6.2155694975363218E-2</v>
      </c>
      <c r="AQ36" s="84">
        <f t="shared" si="29"/>
        <v>-2.3102393405681143</v>
      </c>
      <c r="AR36" s="84">
        <f t="shared" si="30"/>
        <v>-2.3102393405681143</v>
      </c>
      <c r="AS36" s="34">
        <f t="shared" si="10"/>
        <v>38393235.000000238</v>
      </c>
      <c r="AT36" s="28"/>
      <c r="AW36" s="85">
        <f t="shared" si="11"/>
        <v>2006</v>
      </c>
      <c r="AX36" s="84">
        <f t="shared" si="12"/>
        <v>1.851402131670607E-2</v>
      </c>
      <c r="AY36" s="84">
        <f t="shared" si="13"/>
        <v>0.58718524989331489</v>
      </c>
      <c r="AZ36" s="135">
        <f t="shared" si="14"/>
        <v>90221222</v>
      </c>
      <c r="BA36" s="136">
        <f t="shared" si="15"/>
        <v>39732808.083800465</v>
      </c>
    </row>
    <row r="37" spans="2:53" ht="15" x14ac:dyDescent="0.25">
      <c r="B37" s="78">
        <v>2002</v>
      </c>
      <c r="C37" s="78">
        <v>1135.5999999999999</v>
      </c>
      <c r="D37" s="78">
        <v>141.80000000000001</v>
      </c>
      <c r="E37" s="28">
        <f t="shared" si="0"/>
        <v>8008462.6234132573</v>
      </c>
      <c r="F37" s="18">
        <v>2002</v>
      </c>
      <c r="G37" s="50">
        <v>8072000</v>
      </c>
      <c r="H37" s="68">
        <f t="shared" si="16"/>
        <v>140.68384539147672</v>
      </c>
      <c r="J37" s="18">
        <v>1804.9</v>
      </c>
      <c r="K37" s="68">
        <f t="shared" si="1"/>
        <v>223.60009910802776</v>
      </c>
      <c r="L37" s="68">
        <f t="shared" si="2"/>
        <v>364.28394449950451</v>
      </c>
      <c r="M37" s="76">
        <f t="shared" si="17"/>
        <v>2002</v>
      </c>
      <c r="N37" s="90">
        <v>857906603</v>
      </c>
      <c r="O37" s="70">
        <f t="shared" si="18"/>
        <v>106.28</v>
      </c>
      <c r="P37" s="70">
        <f t="shared" si="19"/>
        <v>0.76</v>
      </c>
      <c r="Q37" s="70">
        <f t="shared" si="20"/>
        <v>0.28999999999999998</v>
      </c>
      <c r="R37" s="74">
        <f t="shared" si="27"/>
        <v>7.0422535211267734E-2</v>
      </c>
      <c r="S37" s="74">
        <f t="shared" si="28"/>
        <v>3.5714285714285587E-2</v>
      </c>
      <c r="T37" s="74"/>
      <c r="U37" s="18">
        <f t="shared" si="31"/>
        <v>366</v>
      </c>
      <c r="V37" s="77">
        <f t="shared" si="21"/>
        <v>433344000000</v>
      </c>
      <c r="W37" s="77"/>
      <c r="X37" s="76">
        <f t="shared" si="22"/>
        <v>2002</v>
      </c>
      <c r="Y37" s="67">
        <f t="shared" si="23"/>
        <v>1.9797357365049476E-3</v>
      </c>
      <c r="Z37" s="68">
        <f t="shared" si="24"/>
        <v>53684.836471754214</v>
      </c>
      <c r="AA37" s="50">
        <f t="shared" si="25"/>
        <v>8072000</v>
      </c>
      <c r="AB37" s="66">
        <f t="shared" si="26"/>
        <v>857906603</v>
      </c>
      <c r="AC37" s="74"/>
      <c r="AD37" s="88">
        <f t="shared" si="3"/>
        <v>2004</v>
      </c>
      <c r="AE37" s="84">
        <f t="shared" si="4"/>
        <v>-2.6899673533179147</v>
      </c>
      <c r="AF37" s="87">
        <f t="shared" si="5"/>
        <v>51.3745971311861</v>
      </c>
      <c r="AG37" s="86">
        <f t="shared" si="6"/>
        <v>8.9468181081325078</v>
      </c>
      <c r="AH37" s="75">
        <f t="shared" si="7"/>
        <v>8.9458636303574952</v>
      </c>
      <c r="AI37" s="28">
        <f t="shared" si="8"/>
        <v>882802654.47051406</v>
      </c>
      <c r="AO37" s="85">
        <v>2005</v>
      </c>
      <c r="AP37" s="84">
        <f t="shared" si="9"/>
        <v>0.17440083769269896</v>
      </c>
      <c r="AQ37" s="84">
        <f t="shared" si="29"/>
        <v>-1.74357201060847</v>
      </c>
      <c r="AR37" s="84">
        <f t="shared" si="30"/>
        <v>-1.74357201060847</v>
      </c>
      <c r="AS37" s="34">
        <f t="shared" si="10"/>
        <v>14579060.999999881</v>
      </c>
      <c r="AT37" s="28"/>
      <c r="AW37" s="85">
        <f t="shared" si="11"/>
        <v>2007</v>
      </c>
      <c r="AX37" s="84">
        <f t="shared" si="12"/>
        <v>0.21334516138694959</v>
      </c>
      <c r="AY37" s="84">
        <f t="shared" si="13"/>
        <v>0.3454314837114798</v>
      </c>
      <c r="AZ37" s="135">
        <f t="shared" si="14"/>
        <v>74328165</v>
      </c>
      <c r="BA37" s="136">
        <f t="shared" si="15"/>
        <v>59678090.356959611</v>
      </c>
    </row>
    <row r="38" spans="2:53" ht="15" x14ac:dyDescent="0.25">
      <c r="B38" s="78">
        <v>2003</v>
      </c>
      <c r="C38" s="78">
        <v>1093.7</v>
      </c>
      <c r="D38" s="78">
        <v>136.6</v>
      </c>
      <c r="E38" s="28">
        <f t="shared" si="0"/>
        <v>8006588.5797950225</v>
      </c>
      <c r="F38" s="18">
        <v>2003</v>
      </c>
      <c r="G38" s="50">
        <v>8068073</v>
      </c>
      <c r="H38" s="68">
        <f t="shared" si="16"/>
        <v>135.55901142689214</v>
      </c>
      <c r="J38" s="18">
        <v>1804.9</v>
      </c>
      <c r="K38" s="68">
        <f t="shared" si="1"/>
        <v>223.70893272780253</v>
      </c>
      <c r="L38" s="68">
        <f t="shared" si="2"/>
        <v>359.26794415469465</v>
      </c>
      <c r="M38" s="76">
        <f t="shared" si="17"/>
        <v>2003</v>
      </c>
      <c r="N38" s="90">
        <v>846351747</v>
      </c>
      <c r="O38" s="70">
        <f t="shared" si="18"/>
        <v>104.9</v>
      </c>
      <c r="P38" s="70">
        <f t="shared" si="19"/>
        <v>0.77</v>
      </c>
      <c r="Q38" s="70">
        <f t="shared" si="20"/>
        <v>0.28999999999999998</v>
      </c>
      <c r="R38" s="74">
        <f t="shared" si="27"/>
        <v>1.3157894736842035E-2</v>
      </c>
      <c r="S38" s="74">
        <f t="shared" si="28"/>
        <v>0</v>
      </c>
      <c r="T38" s="74"/>
      <c r="U38" s="18">
        <f t="shared" si="31"/>
        <v>365</v>
      </c>
      <c r="V38" s="77">
        <f t="shared" si="21"/>
        <v>414494000000</v>
      </c>
      <c r="W38" s="77"/>
      <c r="X38" s="76">
        <f t="shared" si="22"/>
        <v>2003</v>
      </c>
      <c r="Y38" s="67">
        <f t="shared" si="23"/>
        <v>2.0418914314803108E-3</v>
      </c>
      <c r="Z38" s="68">
        <f t="shared" si="24"/>
        <v>51374.597131186099</v>
      </c>
      <c r="AA38" s="50">
        <f t="shared" si="25"/>
        <v>8068073</v>
      </c>
      <c r="AB38" s="66">
        <f t="shared" si="26"/>
        <v>846351746.99999988</v>
      </c>
      <c r="AC38" s="74"/>
      <c r="AD38" s="88">
        <f t="shared" si="3"/>
        <v>2005</v>
      </c>
      <c r="AE38" s="84">
        <f t="shared" si="4"/>
        <v>-2.6543729684384996</v>
      </c>
      <c r="AF38" s="87">
        <f t="shared" si="5"/>
        <v>49.631025120577632</v>
      </c>
      <c r="AG38" s="86">
        <f t="shared" si="6"/>
        <v>8.9539162042248126</v>
      </c>
      <c r="AH38" s="75">
        <f t="shared" si="7"/>
        <v>8.9717256709582234</v>
      </c>
      <c r="AI38" s="28">
        <f t="shared" si="8"/>
        <v>936969967.92381299</v>
      </c>
      <c r="AO38" s="85">
        <v>2006</v>
      </c>
      <c r="AP38" s="84">
        <f t="shared" si="9"/>
        <v>1.851402131670607E-2</v>
      </c>
      <c r="AQ38" s="84">
        <f t="shared" si="29"/>
        <v>0.58718524989331489</v>
      </c>
      <c r="AR38" s="84">
        <f t="shared" si="30"/>
        <v>0.58718524989331489</v>
      </c>
      <c r="AS38" s="34">
        <f t="shared" si="10"/>
        <v>90221222</v>
      </c>
      <c r="AT38" s="28"/>
      <c r="AW38" s="85">
        <f t="shared" si="11"/>
        <v>2008</v>
      </c>
      <c r="AX38" s="84">
        <f t="shared" si="12"/>
        <v>0.27920115037597532</v>
      </c>
      <c r="AY38" s="84">
        <f t="shared" si="13"/>
        <v>-1.8880176945323184</v>
      </c>
      <c r="AZ38" s="135">
        <f t="shared" si="14"/>
        <v>138316634</v>
      </c>
      <c r="BA38" s="136">
        <f t="shared" si="15"/>
        <v>47295659.837458342</v>
      </c>
    </row>
    <row r="39" spans="2:53" ht="15" x14ac:dyDescent="0.25">
      <c r="B39" s="78">
        <v>2004</v>
      </c>
      <c r="C39" s="78">
        <v>1099.5</v>
      </c>
      <c r="D39" s="78">
        <v>137.30000000000001</v>
      </c>
      <c r="E39" s="28">
        <f t="shared" si="0"/>
        <v>8008011.6533139106</v>
      </c>
      <c r="F39" s="18">
        <v>2004</v>
      </c>
      <c r="G39" s="50">
        <v>8043366</v>
      </c>
      <c r="H39" s="68">
        <f t="shared" si="16"/>
        <v>136.69650243442857</v>
      </c>
      <c r="J39" s="18">
        <v>1804.9</v>
      </c>
      <c r="K39" s="68">
        <f t="shared" si="1"/>
        <v>224.39610481482504</v>
      </c>
      <c r="L39" s="68">
        <f t="shared" si="2"/>
        <v>361.0926072492536</v>
      </c>
      <c r="M39" s="76">
        <f t="shared" si="17"/>
        <v>2004</v>
      </c>
      <c r="N39" s="90">
        <v>884744982</v>
      </c>
      <c r="O39" s="70">
        <f t="shared" si="18"/>
        <v>110</v>
      </c>
      <c r="P39" s="70">
        <f t="shared" si="19"/>
        <v>0.8</v>
      </c>
      <c r="Q39" s="70">
        <f t="shared" si="20"/>
        <v>0.3</v>
      </c>
      <c r="R39" s="74">
        <f t="shared" si="27"/>
        <v>3.8961038961039085E-2</v>
      </c>
      <c r="S39" s="74">
        <f t="shared" si="28"/>
        <v>3.4482758620689724E-2</v>
      </c>
      <c r="T39" s="74"/>
      <c r="U39" s="18">
        <f t="shared" si="31"/>
        <v>365</v>
      </c>
      <c r="V39" s="77">
        <f t="shared" si="21"/>
        <v>399200500000</v>
      </c>
      <c r="W39" s="77"/>
      <c r="X39" s="76">
        <f t="shared" si="22"/>
        <v>2004</v>
      </c>
      <c r="Y39" s="67">
        <f t="shared" si="23"/>
        <v>2.2162922691730098E-3</v>
      </c>
      <c r="Z39" s="68">
        <f t="shared" si="24"/>
        <v>49631.025120577629</v>
      </c>
      <c r="AA39" s="50">
        <f t="shared" si="25"/>
        <v>8043366</v>
      </c>
      <c r="AB39" s="66">
        <f t="shared" si="26"/>
        <v>884744982.00000012</v>
      </c>
      <c r="AC39" s="74"/>
      <c r="AD39" s="88">
        <f t="shared" si="3"/>
        <v>2006</v>
      </c>
      <c r="AE39" s="84">
        <f t="shared" si="4"/>
        <v>-2.6507601148664075</v>
      </c>
      <c r="AF39" s="87">
        <f t="shared" si="5"/>
        <v>50.218210370470942</v>
      </c>
      <c r="AG39" s="86">
        <f t="shared" si="6"/>
        <v>8.9954356650306391</v>
      </c>
      <c r="AH39" s="75">
        <f t="shared" si="7"/>
        <v>8.9784086542228696</v>
      </c>
      <c r="AI39" s="28">
        <f t="shared" si="8"/>
        <v>951499696.77777529</v>
      </c>
      <c r="AO39" s="85">
        <v>2007</v>
      </c>
      <c r="AP39" s="84">
        <f t="shared" si="9"/>
        <v>0.21334516138694959</v>
      </c>
      <c r="AQ39" s="84">
        <f t="shared" si="29"/>
        <v>0.3454314837114798</v>
      </c>
      <c r="AR39" s="84">
        <f t="shared" si="30"/>
        <v>0.3454314837114798</v>
      </c>
      <c r="AS39" s="34">
        <f t="shared" si="10"/>
        <v>74328165</v>
      </c>
      <c r="AT39" s="28"/>
      <c r="AW39" s="85">
        <f t="shared" si="11"/>
        <v>2009</v>
      </c>
      <c r="AX39" s="84">
        <f t="shared" si="12"/>
        <v>0.22145097617534129</v>
      </c>
      <c r="AY39" s="84">
        <f t="shared" si="13"/>
        <v>1.8545625797631073</v>
      </c>
      <c r="AZ39" s="135">
        <f t="shared" si="14"/>
        <v>81315197</v>
      </c>
      <c r="BA39" s="136">
        <f t="shared" si="15"/>
        <v>74010205.710794255</v>
      </c>
    </row>
    <row r="40" spans="2:53" ht="15" x14ac:dyDescent="0.25">
      <c r="B40" s="78">
        <v>2005</v>
      </c>
      <c r="C40" s="78">
        <v>1107.4000000000001</v>
      </c>
      <c r="D40" s="78">
        <v>138.30000000000001</v>
      </c>
      <c r="E40" s="28">
        <f t="shared" si="0"/>
        <v>8007230.6579898763</v>
      </c>
      <c r="F40" s="18">
        <v>2005</v>
      </c>
      <c r="G40" s="50">
        <v>8013368</v>
      </c>
      <c r="H40" s="68">
        <f t="shared" si="16"/>
        <v>138.1940776961697</v>
      </c>
      <c r="J40" s="18">
        <v>1804.9</v>
      </c>
      <c r="K40" s="68">
        <f t="shared" si="1"/>
        <v>225.23613042605805</v>
      </c>
      <c r="L40" s="68">
        <f t="shared" si="2"/>
        <v>363.43020812222778</v>
      </c>
      <c r="M40" s="76">
        <f t="shared" si="17"/>
        <v>2005</v>
      </c>
      <c r="N40" s="90">
        <v>899324043</v>
      </c>
      <c r="O40" s="70">
        <f t="shared" si="18"/>
        <v>112.23</v>
      </c>
      <c r="P40" s="70">
        <f t="shared" si="19"/>
        <v>0.81</v>
      </c>
      <c r="Q40" s="70">
        <f t="shared" si="20"/>
        <v>0.31</v>
      </c>
      <c r="R40" s="74">
        <f t="shared" si="27"/>
        <v>1.2499999999999956E-2</v>
      </c>
      <c r="S40" s="74">
        <f t="shared" si="28"/>
        <v>3.3333333333333437E-2</v>
      </c>
      <c r="T40" s="74"/>
      <c r="U40" s="18">
        <f t="shared" si="31"/>
        <v>366</v>
      </c>
      <c r="V40" s="77">
        <f t="shared" si="21"/>
        <v>402417000000</v>
      </c>
      <c r="W40" s="77"/>
      <c r="X40" s="76">
        <f t="shared" si="22"/>
        <v>2005</v>
      </c>
      <c r="Y40" s="67">
        <f t="shared" si="23"/>
        <v>2.2348062904897158E-3</v>
      </c>
      <c r="Z40" s="68">
        <f t="shared" si="24"/>
        <v>50218.210370470944</v>
      </c>
      <c r="AA40" s="50">
        <f t="shared" si="25"/>
        <v>8013368</v>
      </c>
      <c r="AB40" s="66">
        <f t="shared" si="26"/>
        <v>899324043</v>
      </c>
      <c r="AC40" s="74"/>
      <c r="AD40" s="88">
        <f t="shared" si="3"/>
        <v>2007</v>
      </c>
      <c r="AE40" s="84">
        <f t="shared" si="4"/>
        <v>-2.6111617186017493</v>
      </c>
      <c r="AF40" s="87">
        <f t="shared" si="5"/>
        <v>50.563641854182421</v>
      </c>
      <c r="AG40" s="86">
        <f t="shared" si="6"/>
        <v>9.0268899626185402</v>
      </c>
      <c r="AH40" s="75">
        <f t="shared" si="7"/>
        <v>9.0193148493305308</v>
      </c>
      <c r="AI40" s="28">
        <f t="shared" si="8"/>
        <v>1045477881.9029406</v>
      </c>
      <c r="AO40" s="85">
        <v>2008</v>
      </c>
      <c r="AP40" s="84">
        <f t="shared" si="9"/>
        <v>0.27920115037597532</v>
      </c>
      <c r="AQ40" s="84">
        <f t="shared" si="29"/>
        <v>-1.8880176945323184</v>
      </c>
      <c r="AR40" s="84">
        <f t="shared" si="30"/>
        <v>-1.8880176945323184</v>
      </c>
      <c r="AS40" s="34">
        <f t="shared" si="10"/>
        <v>138316634</v>
      </c>
      <c r="AT40" s="28"/>
      <c r="AW40" s="85">
        <f t="shared" si="11"/>
        <v>2010</v>
      </c>
      <c r="AX40" s="84">
        <f t="shared" si="12"/>
        <v>0.29845172664452141</v>
      </c>
      <c r="AY40" s="84">
        <f t="shared" si="13"/>
        <v>-1.9223157417441252</v>
      </c>
      <c r="AZ40" s="135"/>
      <c r="BA40" s="136">
        <f t="shared" si="15"/>
        <v>49173849.516360164</v>
      </c>
    </row>
    <row r="41" spans="2:53" ht="15" x14ac:dyDescent="0.25">
      <c r="B41" s="78">
        <v>2006</v>
      </c>
      <c r="C41" s="78">
        <v>1068.7</v>
      </c>
      <c r="D41" s="78">
        <v>133.5</v>
      </c>
      <c r="E41" s="28">
        <f t="shared" si="0"/>
        <v>8005243.4456928838</v>
      </c>
      <c r="F41" s="18">
        <v>2006</v>
      </c>
      <c r="G41" s="50">
        <v>7993906</v>
      </c>
      <c r="H41" s="68">
        <f t="shared" si="16"/>
        <v>133.68933785310961</v>
      </c>
      <c r="J41" s="18">
        <v>1804.9</v>
      </c>
      <c r="K41" s="68">
        <f t="shared" si="1"/>
        <v>225.78449133627541</v>
      </c>
      <c r="L41" s="68">
        <f t="shared" si="2"/>
        <v>359.47382918938501</v>
      </c>
      <c r="M41" s="76">
        <f t="shared" si="17"/>
        <v>2006</v>
      </c>
      <c r="N41" s="69">
        <v>989545265</v>
      </c>
      <c r="O41" s="70">
        <f t="shared" si="18"/>
        <v>123.79</v>
      </c>
      <c r="P41" s="70">
        <f t="shared" si="19"/>
        <v>0.93</v>
      </c>
      <c r="Q41" s="70">
        <f t="shared" si="20"/>
        <v>0.34</v>
      </c>
      <c r="R41" s="74">
        <f t="shared" si="27"/>
        <v>0.14814814814814814</v>
      </c>
      <c r="S41" s="74">
        <f t="shared" si="28"/>
        <v>9.6774193548387233E-2</v>
      </c>
      <c r="T41" s="74"/>
      <c r="U41" s="18">
        <f t="shared" si="31"/>
        <v>365</v>
      </c>
      <c r="V41" s="77">
        <f t="shared" si="21"/>
        <v>404201000000</v>
      </c>
      <c r="W41" s="77"/>
      <c r="X41" s="76">
        <f t="shared" si="22"/>
        <v>2006</v>
      </c>
      <c r="Y41" s="67">
        <f t="shared" si="23"/>
        <v>2.4481514518766654E-3</v>
      </c>
      <c r="Z41" s="68">
        <f t="shared" si="24"/>
        <v>50563.641854182424</v>
      </c>
      <c r="AA41" s="50">
        <f t="shared" si="25"/>
        <v>7993906</v>
      </c>
      <c r="AB41" s="66">
        <f t="shared" si="26"/>
        <v>989545265</v>
      </c>
      <c r="AC41" s="74"/>
      <c r="AD41" s="88">
        <f t="shared" si="3"/>
        <v>2008</v>
      </c>
      <c r="AE41" s="84">
        <f t="shared" si="4"/>
        <v>-2.5642587112283786</v>
      </c>
      <c r="AF41" s="87">
        <f t="shared" si="5"/>
        <v>48.675624159650106</v>
      </c>
      <c r="AG41" s="86">
        <f t="shared" si="6"/>
        <v>9.0799731342399816</v>
      </c>
      <c r="AH41" s="75">
        <f t="shared" si="7"/>
        <v>9.0555680722864604</v>
      </c>
      <c r="AI41" s="28">
        <f t="shared" si="8"/>
        <v>1136496420.6929433</v>
      </c>
      <c r="AO41" s="85">
        <v>2009</v>
      </c>
      <c r="AP41" s="84">
        <f t="shared" si="9"/>
        <v>0.22145097617534129</v>
      </c>
      <c r="AQ41" s="84">
        <f t="shared" si="29"/>
        <v>1.8545625797631073</v>
      </c>
      <c r="AR41" s="84">
        <f t="shared" si="30"/>
        <v>1.8545625797631073</v>
      </c>
      <c r="AS41" s="34">
        <f t="shared" si="10"/>
        <v>81315197</v>
      </c>
      <c r="AT41" s="28"/>
      <c r="AW41" s="24"/>
      <c r="AX41" s="84"/>
      <c r="AY41" s="137"/>
      <c r="AZ41" s="138"/>
      <c r="BA41" s="22"/>
    </row>
    <row r="42" spans="2:53" ht="15.75" thickBot="1" x14ac:dyDescent="0.3">
      <c r="B42" s="78">
        <v>2007</v>
      </c>
      <c r="C42" s="78">
        <v>1113.9000000000001</v>
      </c>
      <c r="D42" s="78">
        <v>139.1</v>
      </c>
      <c r="E42" s="28">
        <f t="shared" si="0"/>
        <v>8007907.9798705969</v>
      </c>
      <c r="F42" s="18">
        <v>2007</v>
      </c>
      <c r="G42" s="50">
        <v>8013775</v>
      </c>
      <c r="H42" s="68">
        <f t="shared" si="16"/>
        <v>138.99816253887838</v>
      </c>
      <c r="J42" s="18">
        <v>1804.9</v>
      </c>
      <c r="K42" s="68">
        <f t="shared" si="1"/>
        <v>225.22469123478012</v>
      </c>
      <c r="L42" s="68">
        <f t="shared" si="2"/>
        <v>364.22285377365847</v>
      </c>
      <c r="M42" s="76">
        <f t="shared" si="17"/>
        <v>2007</v>
      </c>
      <c r="N42" s="69">
        <v>1063873430</v>
      </c>
      <c r="O42" s="70">
        <f t="shared" si="18"/>
        <v>132.76</v>
      </c>
      <c r="P42" s="70">
        <f t="shared" si="19"/>
        <v>0.96</v>
      </c>
      <c r="Q42" s="70">
        <f t="shared" si="20"/>
        <v>0.36</v>
      </c>
      <c r="R42" s="74">
        <f t="shared" si="27"/>
        <v>3.2258064516129004E-2</v>
      </c>
      <c r="S42" s="74">
        <f t="shared" si="28"/>
        <v>5.8823529411764497E-2</v>
      </c>
      <c r="T42" s="74"/>
      <c r="U42" s="18">
        <f t="shared" si="31"/>
        <v>365</v>
      </c>
      <c r="V42" s="77">
        <f t="shared" si="21"/>
        <v>390075500000</v>
      </c>
      <c r="W42" s="77"/>
      <c r="X42" s="76">
        <f t="shared" si="22"/>
        <v>2007</v>
      </c>
      <c r="Y42" s="67">
        <f t="shared" si="23"/>
        <v>2.7273526022526407E-3</v>
      </c>
      <c r="Z42" s="68">
        <f t="shared" si="24"/>
        <v>48675.624159650106</v>
      </c>
      <c r="AA42" s="50">
        <f t="shared" si="25"/>
        <v>8013775</v>
      </c>
      <c r="AB42" s="66">
        <f t="shared" si="26"/>
        <v>1063873430</v>
      </c>
      <c r="AC42" s="74"/>
      <c r="AD42" s="79">
        <f t="shared" si="3"/>
        <v>2009</v>
      </c>
      <c r="AE42" s="80">
        <f t="shared" si="4"/>
        <v>-2.5303541551002513</v>
      </c>
      <c r="AF42" s="83">
        <f t="shared" si="5"/>
        <v>50.53018673941321</v>
      </c>
      <c r="AG42" s="82">
        <f t="shared" si="6"/>
        <v>9.1083976531543929</v>
      </c>
      <c r="AH42" s="75">
        <f t="shared" si="7"/>
        <v>9.0988701916813408</v>
      </c>
      <c r="AI42" s="28">
        <f t="shared" si="8"/>
        <v>1255654599.0963657</v>
      </c>
      <c r="AO42" s="81">
        <v>2010</v>
      </c>
      <c r="AP42" s="80">
        <f t="shared" si="9"/>
        <v>0.29845172664452141</v>
      </c>
      <c r="AQ42" s="80">
        <f t="shared" si="29"/>
        <v>-1.9223157417441252</v>
      </c>
      <c r="AR42" s="80">
        <f t="shared" si="30"/>
        <v>-1.9223157417441252</v>
      </c>
      <c r="AS42" s="19"/>
      <c r="AT42" s="28"/>
      <c r="AW42" s="24"/>
      <c r="AX42" s="151" t="s">
        <v>66</v>
      </c>
      <c r="AY42" s="152"/>
      <c r="AZ42" s="152"/>
      <c r="BA42" s="22"/>
    </row>
    <row r="43" spans="2:53" ht="15.75" thickBot="1" x14ac:dyDescent="0.3">
      <c r="B43" s="78">
        <v>2008</v>
      </c>
      <c r="C43" s="78">
        <v>1082.9000000000001</v>
      </c>
      <c r="D43" s="78">
        <v>135.19999999999999</v>
      </c>
      <c r="E43" s="28">
        <f t="shared" si="0"/>
        <v>8009615.384615385</v>
      </c>
      <c r="F43" s="18">
        <v>2008</v>
      </c>
      <c r="G43" s="50">
        <v>8068195</v>
      </c>
      <c r="H43" s="68">
        <f t="shared" si="16"/>
        <v>134.2183722629411</v>
      </c>
      <c r="J43" s="18">
        <v>1804.9</v>
      </c>
      <c r="K43" s="68">
        <f t="shared" si="1"/>
        <v>223.7055500022</v>
      </c>
      <c r="L43" s="68">
        <f t="shared" si="2"/>
        <v>357.92392226514107</v>
      </c>
      <c r="M43" s="76">
        <f t="shared" si="17"/>
        <v>2008</v>
      </c>
      <c r="N43" s="69">
        <v>1202190064</v>
      </c>
      <c r="O43" s="70">
        <f t="shared" si="18"/>
        <v>149</v>
      </c>
      <c r="P43" s="70">
        <f t="shared" si="19"/>
        <v>1.1100000000000001</v>
      </c>
      <c r="Q43" s="70">
        <f t="shared" si="20"/>
        <v>0.42</v>
      </c>
      <c r="R43" s="74">
        <f t="shared" si="27"/>
        <v>0.15625000000000022</v>
      </c>
      <c r="S43" s="74">
        <f t="shared" si="28"/>
        <v>0.16666666666666674</v>
      </c>
      <c r="T43" s="74"/>
      <c r="U43" s="18">
        <f t="shared" si="31"/>
        <v>366</v>
      </c>
      <c r="V43" s="77">
        <f t="shared" si="21"/>
        <v>407687400000</v>
      </c>
      <c r="W43" s="77"/>
      <c r="X43" s="76">
        <f t="shared" si="22"/>
        <v>2008</v>
      </c>
      <c r="Y43" s="67">
        <f t="shared" si="23"/>
        <v>2.948803578427982E-3</v>
      </c>
      <c r="Z43" s="68">
        <f t="shared" si="24"/>
        <v>50530.186739413213</v>
      </c>
      <c r="AA43" s="50">
        <f t="shared" si="25"/>
        <v>8068195</v>
      </c>
      <c r="AB43" s="66">
        <f t="shared" si="26"/>
        <v>1202190064</v>
      </c>
      <c r="AC43" s="74"/>
      <c r="AD43" s="79">
        <v>2010</v>
      </c>
      <c r="AE43" s="75">
        <f t="shared" si="4"/>
        <v>-2.4884835650157053</v>
      </c>
      <c r="AF43" s="68">
        <f t="shared" si="5"/>
        <v>48.607870997669089</v>
      </c>
      <c r="AH43" s="75">
        <f t="shared" si="7"/>
        <v>9.1299757819552845</v>
      </c>
      <c r="AI43" s="28">
        <f t="shared" si="8"/>
        <v>1348887660.9761319</v>
      </c>
      <c r="AJ43" s="27" t="s">
        <v>68</v>
      </c>
      <c r="AK43" s="26"/>
      <c r="AL43" s="26"/>
      <c r="AM43" s="26"/>
      <c r="AN43" s="26"/>
      <c r="AO43" s="23"/>
      <c r="AP43" s="23"/>
      <c r="AQ43" s="23"/>
      <c r="AR43" s="22"/>
      <c r="AW43" s="24"/>
      <c r="AX43" s="23"/>
      <c r="AY43" s="139" t="s">
        <v>42</v>
      </c>
      <c r="AZ43" s="140">
        <v>32414501.605661225</v>
      </c>
      <c r="BA43" s="22"/>
    </row>
    <row r="44" spans="2:53" ht="15.75" thickBot="1" x14ac:dyDescent="0.3">
      <c r="B44" s="78">
        <v>2009</v>
      </c>
      <c r="C44" s="78">
        <v>1007.2</v>
      </c>
      <c r="D44" s="78">
        <v>125.8</v>
      </c>
      <c r="E44" s="28">
        <f t="shared" si="0"/>
        <v>8006359.3004769478</v>
      </c>
      <c r="F44" s="18">
        <v>2009</v>
      </c>
      <c r="G44" s="50">
        <v>8131574</v>
      </c>
      <c r="H44" s="68">
        <f t="shared" si="16"/>
        <v>123.86285853144791</v>
      </c>
      <c r="J44" s="18">
        <v>1804.9</v>
      </c>
      <c r="K44" s="68">
        <f t="shared" si="1"/>
        <v>221.96194734254402</v>
      </c>
      <c r="L44" s="68">
        <f t="shared" si="2"/>
        <v>345.82480587399192</v>
      </c>
      <c r="M44" s="76">
        <f t="shared" si="17"/>
        <v>2009</v>
      </c>
      <c r="N44" s="69">
        <v>1283505261</v>
      </c>
      <c r="O44" s="70">
        <f t="shared" si="18"/>
        <v>157.84</v>
      </c>
      <c r="P44" s="70">
        <f t="shared" si="19"/>
        <v>1.27</v>
      </c>
      <c r="Q44" s="70">
        <f t="shared" si="20"/>
        <v>0.46</v>
      </c>
      <c r="R44" s="74">
        <f t="shared" si="27"/>
        <v>0.144144144144144</v>
      </c>
      <c r="S44" s="74">
        <f t="shared" si="28"/>
        <v>9.5238095238095344E-2</v>
      </c>
      <c r="T44" s="74"/>
      <c r="U44" s="18">
        <f t="shared" si="31"/>
        <v>365</v>
      </c>
      <c r="V44" s="77">
        <f t="shared" si="21"/>
        <v>395258500000</v>
      </c>
      <c r="W44" s="77"/>
      <c r="X44" s="76">
        <f t="shared" si="22"/>
        <v>2009</v>
      </c>
      <c r="Y44" s="67">
        <f t="shared" si="23"/>
        <v>3.2472553050725034E-3</v>
      </c>
      <c r="Z44" s="68">
        <f t="shared" si="24"/>
        <v>48607.870997669088</v>
      </c>
      <c r="AA44" s="50">
        <f t="shared" si="25"/>
        <v>8131574</v>
      </c>
      <c r="AB44" s="66">
        <f t="shared" si="26"/>
        <v>1283505261</v>
      </c>
      <c r="AC44" s="74"/>
      <c r="AD44" s="74"/>
      <c r="AE44" s="75"/>
      <c r="AF44" s="68"/>
      <c r="AG44" s="74"/>
      <c r="AJ44" s="24"/>
      <c r="AK44" s="23"/>
      <c r="AL44" s="23"/>
      <c r="AM44" s="23"/>
      <c r="AN44" s="23"/>
      <c r="AO44" s="23"/>
      <c r="AP44" s="23"/>
      <c r="AQ44" s="23"/>
      <c r="AR44" s="22"/>
      <c r="AW44" s="24"/>
      <c r="AX44" s="23"/>
      <c r="AY44" s="139" t="s">
        <v>67</v>
      </c>
      <c r="AZ44" s="140">
        <v>113400508.95028035</v>
      </c>
      <c r="BA44" s="22"/>
    </row>
    <row r="45" spans="2:53" ht="13.5" thickBot="1" x14ac:dyDescent="0.25">
      <c r="F45" s="18">
        <v>2010</v>
      </c>
      <c r="G45" s="50">
        <v>8186443</v>
      </c>
      <c r="H45" s="68"/>
      <c r="N45" s="69">
        <v>1539845240</v>
      </c>
      <c r="O45" s="70">
        <f>ROUND(N45/G45,2)</f>
        <v>188.1</v>
      </c>
      <c r="Q45" s="68"/>
      <c r="AD45" s="73" t="s">
        <v>66</v>
      </c>
      <c r="AE45" s="67">
        <f>AK59</f>
        <v>11.327242092220018</v>
      </c>
      <c r="AF45" s="67">
        <f>AK60</f>
        <v>0.98670220994168822</v>
      </c>
      <c r="AG45" s="67">
        <f>AK61</f>
        <v>5.3103729384117787E-3</v>
      </c>
      <c r="AJ45" s="72" t="s">
        <v>65</v>
      </c>
      <c r="AK45" s="71"/>
      <c r="AL45" s="23"/>
      <c r="AM45" s="23"/>
      <c r="AN45" s="23"/>
      <c r="AO45" s="23"/>
      <c r="AP45" s="23"/>
      <c r="AQ45" s="23"/>
      <c r="AR45" s="22"/>
      <c r="AW45" s="21"/>
      <c r="AX45" s="20"/>
      <c r="AY45" s="141" t="s">
        <v>64</v>
      </c>
      <c r="AZ45" s="142">
        <v>8887837.422783751</v>
      </c>
      <c r="BA45" s="19"/>
    </row>
    <row r="46" spans="2:53" ht="15" x14ac:dyDescent="0.25">
      <c r="F46" s="18">
        <v>2011</v>
      </c>
      <c r="G46" s="50">
        <v>8244910</v>
      </c>
      <c r="H46" s="68"/>
      <c r="N46" s="69">
        <v>1294532700</v>
      </c>
      <c r="O46" s="70">
        <f>ROUND(N46/G46,2)</f>
        <v>157.01</v>
      </c>
      <c r="Q46" s="68"/>
      <c r="AJ46" s="38" t="s">
        <v>63</v>
      </c>
      <c r="AK46" s="57">
        <v>0.991199626543809</v>
      </c>
      <c r="AL46" s="23"/>
      <c r="AM46" s="23"/>
      <c r="AN46" s="23"/>
      <c r="AO46" s="23"/>
      <c r="AP46" s="23"/>
      <c r="AQ46" s="23"/>
      <c r="AR46" s="34"/>
    </row>
    <row r="47" spans="2:53" ht="15" x14ac:dyDescent="0.25">
      <c r="J47" s="50"/>
      <c r="N47" s="69">
        <v>1373037802</v>
      </c>
      <c r="Q47" s="68"/>
      <c r="Y47" s="67"/>
      <c r="AI47" s="66"/>
      <c r="AJ47" s="38" t="s">
        <v>62</v>
      </c>
      <c r="AK47" s="57">
        <v>0.98247669966058637</v>
      </c>
      <c r="AL47" s="23"/>
      <c r="AM47" s="23"/>
      <c r="AN47" s="23"/>
      <c r="AO47" s="23"/>
      <c r="AP47" s="23"/>
      <c r="AQ47" s="23"/>
      <c r="AR47" s="34"/>
    </row>
    <row r="48" spans="2:53" ht="15" x14ac:dyDescent="0.25">
      <c r="J48" s="50"/>
      <c r="AJ48" s="38" t="s">
        <v>61</v>
      </c>
      <c r="AK48" s="57">
        <v>0.98112875348063144</v>
      </c>
      <c r="AL48" s="23"/>
      <c r="AM48" s="23"/>
      <c r="AN48" s="23"/>
      <c r="AO48" s="23"/>
      <c r="AP48" s="23"/>
      <c r="AQ48" s="23"/>
      <c r="AR48" s="34"/>
    </row>
    <row r="49" spans="8:44" x14ac:dyDescent="0.2">
      <c r="J49" s="50"/>
      <c r="AJ49" s="38" t="s">
        <v>49</v>
      </c>
      <c r="AK49" s="57">
        <v>2.5786892835495786E-2</v>
      </c>
      <c r="AL49" s="23"/>
      <c r="AM49" s="23"/>
      <c r="AN49" s="23"/>
      <c r="AO49" s="23"/>
      <c r="AP49" s="23"/>
      <c r="AQ49" s="23"/>
      <c r="AR49" s="22"/>
    </row>
    <row r="50" spans="8:44" ht="13.5" thickBot="1" x14ac:dyDescent="0.25">
      <c r="J50" s="50"/>
      <c r="AJ50" s="33" t="s">
        <v>60</v>
      </c>
      <c r="AK50" s="62">
        <v>29</v>
      </c>
      <c r="AL50" s="23"/>
      <c r="AM50" s="23"/>
      <c r="AN50" s="23"/>
      <c r="AO50" s="23"/>
      <c r="AP50" s="23"/>
      <c r="AQ50" s="23"/>
      <c r="AR50" s="22"/>
    </row>
    <row r="51" spans="8:44" x14ac:dyDescent="0.2">
      <c r="J51" s="50"/>
      <c r="AJ51" s="24"/>
      <c r="AK51" s="23"/>
      <c r="AL51" s="23"/>
      <c r="AM51" s="23"/>
      <c r="AN51" s="23"/>
      <c r="AO51" s="23"/>
      <c r="AP51" s="23"/>
      <c r="AQ51" s="23"/>
      <c r="AR51" s="22"/>
    </row>
    <row r="52" spans="8:44" ht="13.5" thickBot="1" x14ac:dyDescent="0.25">
      <c r="J52" s="50"/>
      <c r="AJ52" s="24" t="s">
        <v>59</v>
      </c>
      <c r="AK52" s="23"/>
      <c r="AL52" s="23"/>
      <c r="AM52" s="23"/>
      <c r="AN52" s="23"/>
      <c r="AO52" s="23"/>
      <c r="AP52" s="23"/>
      <c r="AQ52" s="23"/>
      <c r="AR52" s="22"/>
    </row>
    <row r="53" spans="8:44" x14ac:dyDescent="0.2">
      <c r="J53" s="50"/>
      <c r="AJ53" s="47"/>
      <c r="AK53" s="45" t="s">
        <v>58</v>
      </c>
      <c r="AL53" s="45" t="s">
        <v>57</v>
      </c>
      <c r="AM53" s="45" t="s">
        <v>56</v>
      </c>
      <c r="AN53" s="45" t="s">
        <v>55</v>
      </c>
      <c r="AO53" s="45" t="s">
        <v>54</v>
      </c>
      <c r="AP53" s="23"/>
      <c r="AQ53" s="23"/>
      <c r="AR53" s="22"/>
    </row>
    <row r="54" spans="8:44" x14ac:dyDescent="0.2">
      <c r="J54" s="50"/>
      <c r="Q54" s="50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J54" s="38" t="s">
        <v>53</v>
      </c>
      <c r="AK54" s="63">
        <v>2</v>
      </c>
      <c r="AL54" s="57">
        <v>0.96934356980198422</v>
      </c>
      <c r="AM54" s="57">
        <v>0.48467178490099211</v>
      </c>
      <c r="AN54" s="64">
        <v>728.86938237657489</v>
      </c>
      <c r="AO54" s="57">
        <v>1.4689491409713665E-23</v>
      </c>
      <c r="AP54" s="23"/>
      <c r="AQ54" s="23"/>
      <c r="AR54" s="22"/>
    </row>
    <row r="55" spans="8:44" x14ac:dyDescent="0.2">
      <c r="H55" s="50"/>
      <c r="J55" s="50"/>
      <c r="AJ55" s="38" t="s">
        <v>52</v>
      </c>
      <c r="AK55" s="63">
        <v>26</v>
      </c>
      <c r="AL55" s="57">
        <v>1.7289059894842952E-2</v>
      </c>
      <c r="AM55" s="57">
        <v>6.6496384210934436E-4</v>
      </c>
      <c r="AN55" s="57"/>
      <c r="AO55" s="57"/>
      <c r="AP55" s="23"/>
      <c r="AQ55" s="23"/>
      <c r="AR55" s="22"/>
    </row>
    <row r="56" spans="8:44" ht="13.5" thickBot="1" x14ac:dyDescent="0.25">
      <c r="J56" s="50"/>
      <c r="AJ56" s="33" t="s">
        <v>51</v>
      </c>
      <c r="AK56" s="62">
        <v>28</v>
      </c>
      <c r="AL56" s="53">
        <v>0.98663262969682719</v>
      </c>
      <c r="AM56" s="53"/>
      <c r="AN56" s="53"/>
      <c r="AO56" s="53"/>
      <c r="AP56" s="23"/>
      <c r="AQ56" s="23"/>
      <c r="AR56" s="22"/>
    </row>
    <row r="57" spans="8:44" s="40" customFormat="1" ht="13.5" thickBot="1" x14ac:dyDescent="0.25">
      <c r="J57" s="61"/>
      <c r="AJ57" s="24"/>
      <c r="AK57" s="23"/>
      <c r="AL57" s="23"/>
      <c r="AM57" s="23"/>
      <c r="AN57" s="23"/>
      <c r="AO57" s="23"/>
      <c r="AP57" s="23"/>
      <c r="AQ57" s="23"/>
      <c r="AR57" s="22"/>
    </row>
    <row r="58" spans="8:44" ht="25.5" x14ac:dyDescent="0.2">
      <c r="J58" s="50"/>
      <c r="AJ58" s="60"/>
      <c r="AK58" s="46" t="s">
        <v>50</v>
      </c>
      <c r="AL58" s="46" t="s">
        <v>49</v>
      </c>
      <c r="AM58" s="46" t="s">
        <v>48</v>
      </c>
      <c r="AN58" s="46" t="s">
        <v>47</v>
      </c>
      <c r="AO58" s="46" t="s">
        <v>46</v>
      </c>
      <c r="AP58" s="46" t="s">
        <v>45</v>
      </c>
      <c r="AQ58" s="46" t="s">
        <v>44</v>
      </c>
      <c r="AR58" s="59" t="s">
        <v>43</v>
      </c>
    </row>
    <row r="59" spans="8:44" x14ac:dyDescent="0.2">
      <c r="J59" s="50"/>
      <c r="AJ59" s="38" t="s">
        <v>42</v>
      </c>
      <c r="AK59" s="57">
        <v>11.327242092220018</v>
      </c>
      <c r="AL59" s="56">
        <v>7.7456105210603546E-2</v>
      </c>
      <c r="AM59" s="58">
        <v>146.24079097988712</v>
      </c>
      <c r="AN59" s="57">
        <v>1.9343527470802848E-39</v>
      </c>
      <c r="AO59" s="56">
        <v>11.168028787757002</v>
      </c>
      <c r="AP59" s="56">
        <v>11.486455396683034</v>
      </c>
      <c r="AQ59" s="56">
        <v>11.168028787757002</v>
      </c>
      <c r="AR59" s="55">
        <v>11.486455396683034</v>
      </c>
    </row>
    <row r="60" spans="8:44" x14ac:dyDescent="0.2">
      <c r="J60" s="50"/>
      <c r="AJ60" s="38" t="s">
        <v>41</v>
      </c>
      <c r="AK60" s="57">
        <v>0.98670220994168822</v>
      </c>
      <c r="AL60" s="56">
        <v>4.644207292346255E-2</v>
      </c>
      <c r="AM60" s="58">
        <v>21.245869269612339</v>
      </c>
      <c r="AN60" s="57">
        <v>5.9004671372094294E-18</v>
      </c>
      <c r="AO60" s="56">
        <v>0.8912391618559119</v>
      </c>
      <c r="AP60" s="56">
        <v>1.0821652580274645</v>
      </c>
      <c r="AQ60" s="56">
        <v>0.8912391618559119</v>
      </c>
      <c r="AR60" s="55">
        <v>1.0821652580274645</v>
      </c>
    </row>
    <row r="61" spans="8:44" ht="13.5" thickBot="1" x14ac:dyDescent="0.25">
      <c r="J61" s="50"/>
      <c r="AJ61" s="33" t="s">
        <v>40</v>
      </c>
      <c r="AK61" s="53">
        <v>5.3103729384117787E-3</v>
      </c>
      <c r="AL61" s="52">
        <v>1.1356336804250247E-3</v>
      </c>
      <c r="AM61" s="54">
        <v>4.676131951655667</v>
      </c>
      <c r="AN61" s="53">
        <v>7.9027406367136122E-5</v>
      </c>
      <c r="AO61" s="52">
        <v>2.9760444767837875E-3</v>
      </c>
      <c r="AP61" s="52">
        <v>7.6447014000397698E-3</v>
      </c>
      <c r="AQ61" s="52">
        <v>2.9760444767837875E-3</v>
      </c>
      <c r="AR61" s="51">
        <v>7.6447014000397698E-3</v>
      </c>
    </row>
    <row r="62" spans="8:44" x14ac:dyDescent="0.2">
      <c r="J62" s="50"/>
    </row>
    <row r="63" spans="8:44" ht="13.5" thickBot="1" x14ac:dyDescent="0.25"/>
    <row r="64" spans="8:44" ht="13.5" thickBot="1" x14ac:dyDescent="0.25">
      <c r="AJ64" s="27" t="s">
        <v>39</v>
      </c>
      <c r="AK64" s="26"/>
      <c r="AL64" s="26"/>
      <c r="AM64" s="153" t="s">
        <v>38</v>
      </c>
      <c r="AN64" s="154"/>
      <c r="AO64" s="26"/>
      <c r="AP64" s="25"/>
    </row>
    <row r="65" spans="36:43" ht="13.5" thickBot="1" x14ac:dyDescent="0.25">
      <c r="AJ65" s="24"/>
      <c r="AK65" s="23"/>
      <c r="AL65" s="23"/>
      <c r="AM65" s="49">
        <f>AM66/AN66</f>
        <v>2.5874073478912512</v>
      </c>
      <c r="AN65" s="48"/>
      <c r="AO65" s="23"/>
      <c r="AP65" s="22"/>
    </row>
    <row r="66" spans="36:43" s="40" customFormat="1" ht="26.25" thickBot="1" x14ac:dyDescent="0.25">
      <c r="AJ66" s="47" t="s">
        <v>37</v>
      </c>
      <c r="AK66" s="46" t="s">
        <v>36</v>
      </c>
      <c r="AL66" s="45" t="s">
        <v>35</v>
      </c>
      <c r="AM66" s="44">
        <f>SUM(AM67:AM95)</f>
        <v>4.4733840610048599E-2</v>
      </c>
      <c r="AN66" s="44">
        <f>SUM(AN67:AN95)</f>
        <v>1.7289059894842952E-2</v>
      </c>
      <c r="AO66" s="43"/>
      <c r="AP66" s="42" t="s">
        <v>34</v>
      </c>
      <c r="AQ66" s="41"/>
    </row>
    <row r="67" spans="36:43" ht="15" x14ac:dyDescent="0.25">
      <c r="AJ67" s="38">
        <v>1</v>
      </c>
      <c r="AK67" s="37">
        <v>8.4135836146182292</v>
      </c>
      <c r="AL67" s="37">
        <v>4.3177278429613608E-3</v>
      </c>
      <c r="AM67" s="27"/>
      <c r="AN67" s="39">
        <f t="shared" ref="AN67:AN95" si="32">AL67^2</f>
        <v>1.8642773725883766E-5</v>
      </c>
      <c r="AO67" s="23"/>
      <c r="AP67" s="34">
        <f t="shared" ref="AP67:AP95" si="33">10^AK67</f>
        <v>259169335.14575863</v>
      </c>
      <c r="AQ67" s="28"/>
    </row>
    <row r="68" spans="36:43" ht="15" x14ac:dyDescent="0.25">
      <c r="AJ68" s="38">
        <v>2</v>
      </c>
      <c r="AK68" s="37">
        <v>8.4616172922249042</v>
      </c>
      <c r="AL68" s="37">
        <v>-3.9055396823286515E-2</v>
      </c>
      <c r="AM68" s="36">
        <f t="shared" ref="AM68:AM95" si="34">(AL68-AL67)^2</f>
        <v>1.8812279433138798E-3</v>
      </c>
      <c r="AN68" s="35">
        <f t="shared" si="32"/>
        <v>1.5253240210243784E-3</v>
      </c>
      <c r="AO68" s="23"/>
      <c r="AP68" s="34">
        <f t="shared" si="33"/>
        <v>289479152.32723558</v>
      </c>
      <c r="AQ68" s="28"/>
    </row>
    <row r="69" spans="36:43" ht="15" x14ac:dyDescent="0.25">
      <c r="AJ69" s="38">
        <v>3</v>
      </c>
      <c r="AK69" s="37">
        <v>8.4718036033034316</v>
      </c>
      <c r="AL69" s="37">
        <v>3.2296194197877881E-2</v>
      </c>
      <c r="AM69" s="36">
        <f t="shared" si="34"/>
        <v>5.0910495412515074E-3</v>
      </c>
      <c r="AN69" s="35">
        <f t="shared" si="32"/>
        <v>1.043044159667041E-3</v>
      </c>
      <c r="AO69" s="23"/>
      <c r="AP69" s="34">
        <f t="shared" si="33"/>
        <v>296349093.62724054</v>
      </c>
      <c r="AQ69" s="28"/>
    </row>
    <row r="70" spans="36:43" ht="15" x14ac:dyDescent="0.25">
      <c r="AJ70" s="38">
        <v>4</v>
      </c>
      <c r="AK70" s="37">
        <v>8.5456981550683313</v>
      </c>
      <c r="AL70" s="37">
        <v>-8.083804456976651E-3</v>
      </c>
      <c r="AM70" s="36">
        <f t="shared" si="34"/>
        <v>1.6305442913660537E-3</v>
      </c>
      <c r="AN70" s="35">
        <f t="shared" si="32"/>
        <v>6.5347894498635572E-5</v>
      </c>
      <c r="AO70" s="23"/>
      <c r="AP70" s="34">
        <f t="shared" si="33"/>
        <v>351316182.60357141</v>
      </c>
      <c r="AQ70" s="28"/>
    </row>
    <row r="71" spans="36:43" ht="15" x14ac:dyDescent="0.25">
      <c r="AJ71" s="38">
        <v>5</v>
      </c>
      <c r="AK71" s="37">
        <v>8.5746424470298557</v>
      </c>
      <c r="AL71" s="37">
        <v>3.0897406442900177E-3</v>
      </c>
      <c r="AM71" s="36">
        <f t="shared" si="34"/>
        <v>1.2484811013004036E-4</v>
      </c>
      <c r="AN71" s="35">
        <f t="shared" si="32"/>
        <v>9.5464972489776939E-6</v>
      </c>
      <c r="AO71" s="23"/>
      <c r="AP71" s="34">
        <f t="shared" si="33"/>
        <v>375528106.14405364</v>
      </c>
      <c r="AQ71" s="28"/>
    </row>
    <row r="72" spans="36:43" ht="15" x14ac:dyDescent="0.25">
      <c r="AJ72" s="38">
        <v>6</v>
      </c>
      <c r="AK72" s="37">
        <v>8.6113370902194681</v>
      </c>
      <c r="AL72" s="37">
        <v>3.7596509306062842E-2</v>
      </c>
      <c r="AM72" s="36">
        <f t="shared" si="34"/>
        <v>1.1907170834771072E-3</v>
      </c>
      <c r="AN72" s="35">
        <f t="shared" si="32"/>
        <v>1.41349751200087E-3</v>
      </c>
      <c r="AO72" s="23"/>
      <c r="AP72" s="34">
        <f t="shared" si="33"/>
        <v>408636438.25927377</v>
      </c>
      <c r="AQ72" s="28"/>
    </row>
    <row r="73" spans="36:43" ht="15" x14ac:dyDescent="0.25">
      <c r="AJ73" s="38">
        <v>7</v>
      </c>
      <c r="AK73" s="37">
        <v>8.6849154797315755</v>
      </c>
      <c r="AL73" s="37">
        <v>-4.3683992438092289E-2</v>
      </c>
      <c r="AM73" s="36">
        <f t="shared" si="34"/>
        <v>6.6065199637816057E-3</v>
      </c>
      <c r="AN73" s="35">
        <f t="shared" si="32"/>
        <v>1.9082911953313044E-3</v>
      </c>
      <c r="AO73" s="23"/>
      <c r="AP73" s="34">
        <f t="shared" si="33"/>
        <v>484078149.49388951</v>
      </c>
      <c r="AQ73" s="28"/>
    </row>
    <row r="74" spans="36:43" ht="15" x14ac:dyDescent="0.25">
      <c r="AJ74" s="38">
        <v>8</v>
      </c>
      <c r="AK74" s="37">
        <v>8.675021009574623</v>
      </c>
      <c r="AL74" s="37">
        <v>-3.6884798784150519E-2</v>
      </c>
      <c r="AM74" s="36">
        <f t="shared" si="34"/>
        <v>4.6229034343802047E-5</v>
      </c>
      <c r="AN74" s="35">
        <f t="shared" si="32"/>
        <v>1.3604883813472717E-3</v>
      </c>
      <c r="AO74" s="23"/>
      <c r="AP74" s="34">
        <f t="shared" si="33"/>
        <v>473174148.83816302</v>
      </c>
      <c r="AQ74" s="28"/>
    </row>
    <row r="75" spans="36:43" ht="15" x14ac:dyDescent="0.25">
      <c r="AJ75" s="38">
        <v>9</v>
      </c>
      <c r="AK75" s="37">
        <v>8.6683896052389375</v>
      </c>
      <c r="AL75" s="37">
        <v>6.8510420894885016E-2</v>
      </c>
      <c r="AM75" s="36">
        <f t="shared" si="34"/>
        <v>1.1108152331192158E-2</v>
      </c>
      <c r="AN75" s="35">
        <f t="shared" si="32"/>
        <v>4.6936777711942971E-3</v>
      </c>
      <c r="AO75" s="23"/>
      <c r="AP75" s="34">
        <f t="shared" si="33"/>
        <v>466003957.84698147</v>
      </c>
      <c r="AQ75" s="28"/>
    </row>
    <row r="76" spans="36:43" ht="15" x14ac:dyDescent="0.25">
      <c r="AJ76" s="38">
        <v>10</v>
      </c>
      <c r="AK76" s="37">
        <v>8.7635574125397184</v>
      </c>
      <c r="AL76" s="37">
        <v>-6.635273740217329E-3</v>
      </c>
      <c r="AM76" s="36">
        <f t="shared" si="34"/>
        <v>5.6468754221920495E-3</v>
      </c>
      <c r="AN76" s="35">
        <f t="shared" si="32"/>
        <v>4.4026857607617661E-5</v>
      </c>
      <c r="AO76" s="23"/>
      <c r="AP76" s="34">
        <f t="shared" si="33"/>
        <v>580172864.71528852</v>
      </c>
      <c r="AQ76" s="28"/>
    </row>
    <row r="77" spans="36:43" ht="15" x14ac:dyDescent="0.25">
      <c r="AJ77" s="38">
        <v>11</v>
      </c>
      <c r="AK77" s="37">
        <v>8.7853464615456343</v>
      </c>
      <c r="AL77" s="37">
        <v>-9.8250155315700027E-3</v>
      </c>
      <c r="AM77" s="36">
        <f t="shared" si="34"/>
        <v>1.0174452695501764E-5</v>
      </c>
      <c r="AN77" s="35">
        <f t="shared" si="32"/>
        <v>9.6530930195591789E-5</v>
      </c>
      <c r="AO77" s="23"/>
      <c r="AP77" s="34">
        <f t="shared" si="33"/>
        <v>610023353.69394815</v>
      </c>
      <c r="AQ77" s="28"/>
    </row>
    <row r="78" spans="36:43" ht="15" x14ac:dyDescent="0.25">
      <c r="AJ78" s="38">
        <v>12</v>
      </c>
      <c r="AK78" s="37">
        <v>8.8039336529565961</v>
      </c>
      <c r="AL78" s="37">
        <v>5.0358107423136289E-3</v>
      </c>
      <c r="AM78" s="36">
        <f t="shared" si="34"/>
        <v>2.2084415754255007E-4</v>
      </c>
      <c r="AN78" s="35">
        <f t="shared" si="32"/>
        <v>2.5359389832401341E-5</v>
      </c>
      <c r="AO78" s="23"/>
      <c r="AP78" s="34">
        <f t="shared" si="33"/>
        <v>636698245.26945603</v>
      </c>
      <c r="AQ78" s="28"/>
    </row>
    <row r="79" spans="36:43" ht="15" x14ac:dyDescent="0.25">
      <c r="AJ79" s="38">
        <v>13</v>
      </c>
      <c r="AK79" s="37">
        <v>8.8348698178703806</v>
      </c>
      <c r="AL79" s="37">
        <v>1.5851048908684717E-2</v>
      </c>
      <c r="AM79" s="36">
        <f t="shared" si="34"/>
        <v>1.1696937659532986E-4</v>
      </c>
      <c r="AN79" s="35">
        <f t="shared" si="32"/>
        <v>2.5125575150551497E-4</v>
      </c>
      <c r="AO79" s="23"/>
      <c r="AP79" s="34">
        <f t="shared" si="33"/>
        <v>683706671.77360606</v>
      </c>
      <c r="AQ79" s="28"/>
    </row>
    <row r="80" spans="36:43" ht="15" x14ac:dyDescent="0.25">
      <c r="AJ80" s="38">
        <v>14</v>
      </c>
      <c r="AK80" s="37">
        <v>8.8790298977194801</v>
      </c>
      <c r="AL80" s="37">
        <v>-2.2998816864957305E-2</v>
      </c>
      <c r="AM80" s="36">
        <f t="shared" si="34"/>
        <v>1.5093120706300019E-3</v>
      </c>
      <c r="AN80" s="35">
        <f t="shared" si="32"/>
        <v>5.2894557718784457E-4</v>
      </c>
      <c r="AO80" s="23"/>
      <c r="AP80" s="34">
        <f t="shared" si="33"/>
        <v>756884998.73726439</v>
      </c>
      <c r="AQ80" s="28"/>
    </row>
    <row r="81" spans="36:43" ht="15" x14ac:dyDescent="0.25">
      <c r="AJ81" s="38">
        <v>15</v>
      </c>
      <c r="AK81" s="37">
        <v>8.8729155513458959</v>
      </c>
      <c r="AL81" s="37">
        <v>-4.5289535352726062E-3</v>
      </c>
      <c r="AM81" s="36">
        <f t="shared" si="34"/>
        <v>3.4113585141723159E-4</v>
      </c>
      <c r="AN81" s="35">
        <f t="shared" si="32"/>
        <v>2.0511420124658238E-5</v>
      </c>
      <c r="AO81" s="23"/>
      <c r="AP81" s="34">
        <f t="shared" si="33"/>
        <v>746303625.40173042</v>
      </c>
      <c r="AQ81" s="28"/>
    </row>
    <row r="82" spans="36:43" ht="15" x14ac:dyDescent="0.25">
      <c r="AJ82" s="38">
        <v>16</v>
      </c>
      <c r="AK82" s="37">
        <v>8.8828867952061454</v>
      </c>
      <c r="AL82" s="37">
        <v>-1.8991278485403384E-2</v>
      </c>
      <c r="AM82" s="36">
        <f t="shared" si="34"/>
        <v>2.0915884296317521E-4</v>
      </c>
      <c r="AN82" s="35">
        <f t="shared" si="32"/>
        <v>3.6066865851014547E-4</v>
      </c>
      <c r="AO82" s="23"/>
      <c r="AP82" s="34">
        <f t="shared" si="33"/>
        <v>763636705.28583336</v>
      </c>
      <c r="AQ82" s="28"/>
    </row>
    <row r="83" spans="36:43" ht="15" x14ac:dyDescent="0.25">
      <c r="AJ83" s="38">
        <v>17</v>
      </c>
      <c r="AK83" s="37">
        <v>8.8774872871291031</v>
      </c>
      <c r="AL83" s="37">
        <v>1.1992724178577774E-2</v>
      </c>
      <c r="AM83" s="36">
        <f t="shared" si="34"/>
        <v>9.6000842108159151E-4</v>
      </c>
      <c r="AN83" s="35">
        <f t="shared" si="32"/>
        <v>1.4382543322344395E-4</v>
      </c>
      <c r="AO83" s="23"/>
      <c r="AP83" s="34">
        <f t="shared" si="33"/>
        <v>754201318.19123042</v>
      </c>
      <c r="AQ83" s="28"/>
    </row>
    <row r="84" spans="36:43" ht="15" x14ac:dyDescent="0.25">
      <c r="AJ84" s="38">
        <v>18</v>
      </c>
      <c r="AK84" s="37">
        <v>8.9018640791544996</v>
      </c>
      <c r="AL84" s="37">
        <v>1.3430290431491798E-2</v>
      </c>
      <c r="AM84" s="36">
        <f t="shared" si="34"/>
        <v>2.0665967315172686E-6</v>
      </c>
      <c r="AN84" s="35">
        <f t="shared" si="32"/>
        <v>1.8037270107422015E-4</v>
      </c>
      <c r="AO84" s="23"/>
      <c r="AP84" s="34">
        <f t="shared" si="33"/>
        <v>797744978.49681294</v>
      </c>
      <c r="AQ84" s="28"/>
    </row>
    <row r="85" spans="36:43" ht="15" x14ac:dyDescent="0.25">
      <c r="AJ85" s="38">
        <v>19</v>
      </c>
      <c r="AK85" s="37">
        <v>8.9326986720035961</v>
      </c>
      <c r="AL85" s="37">
        <v>-4.1913399951754471E-2</v>
      </c>
      <c r="AM85" s="36">
        <f t="shared" si="34"/>
        <v>3.0629240652366254E-3</v>
      </c>
      <c r="AN85" s="35">
        <f t="shared" si="32"/>
        <v>1.7567330955157317E-3</v>
      </c>
      <c r="AO85" s="23"/>
      <c r="AP85" s="34">
        <f t="shared" si="33"/>
        <v>856443410.03222251</v>
      </c>
      <c r="AQ85" s="28"/>
    </row>
    <row r="86" spans="36:43" ht="15" x14ac:dyDescent="0.25">
      <c r="AJ86" s="38">
        <v>20</v>
      </c>
      <c r="AK86" s="37">
        <v>8.9032795980259767</v>
      </c>
      <c r="AL86" s="37">
        <v>4.9121855651002022E-4</v>
      </c>
      <c r="AM86" s="36">
        <f t="shared" si="34"/>
        <v>1.7981516708314475E-3</v>
      </c>
      <c r="AN86" s="35">
        <f t="shared" si="32"/>
        <v>2.412956702597879E-7</v>
      </c>
      <c r="AO86" s="23"/>
      <c r="AP86" s="34">
        <f t="shared" si="33"/>
        <v>800349352.68970942</v>
      </c>
      <c r="AQ86" s="28"/>
    </row>
    <row r="87" spans="36:43" ht="15" x14ac:dyDescent="0.25">
      <c r="AJ87" s="38">
        <v>21</v>
      </c>
      <c r="AK87" s="37">
        <v>8.9119244944734675</v>
      </c>
      <c r="AL87" s="37">
        <v>1.3658272573660923E-2</v>
      </c>
      <c r="AM87" s="36">
        <f t="shared" si="34"/>
        <v>1.7337131149056974E-4</v>
      </c>
      <c r="AN87" s="35">
        <f t="shared" si="32"/>
        <v>1.8654840969641818E-4</v>
      </c>
      <c r="AO87" s="23"/>
      <c r="AP87" s="34">
        <f t="shared" si="33"/>
        <v>816440414.40299654</v>
      </c>
      <c r="AQ87" s="28"/>
    </row>
    <row r="88" spans="36:43" ht="15" x14ac:dyDescent="0.25">
      <c r="AJ88" s="38">
        <v>22</v>
      </c>
      <c r="AK88" s="37">
        <v>8.9314548243823761</v>
      </c>
      <c r="AL88" s="37">
        <v>1.9851860659212406E-3</v>
      </c>
      <c r="AM88" s="36">
        <f t="shared" si="34"/>
        <v>1.3626094861717423E-4</v>
      </c>
      <c r="AN88" s="35">
        <f t="shared" si="32"/>
        <v>3.9409637163278519E-6</v>
      </c>
      <c r="AO88" s="23"/>
      <c r="AP88" s="34">
        <f t="shared" si="33"/>
        <v>853994009.74029136</v>
      </c>
      <c r="AQ88" s="28"/>
    </row>
    <row r="89" spans="36:43" ht="15" x14ac:dyDescent="0.25">
      <c r="AJ89" s="38">
        <v>23</v>
      </c>
      <c r="AK89" s="37">
        <v>8.9448849672878001</v>
      </c>
      <c r="AL89" s="37">
        <v>-1.7334072295421166E-2</v>
      </c>
      <c r="AM89" s="36">
        <f t="shared" si="34"/>
        <v>3.7323374363229848E-4</v>
      </c>
      <c r="AN89" s="35">
        <f t="shared" si="32"/>
        <v>3.0047006234288758E-4</v>
      </c>
      <c r="AO89" s="23"/>
      <c r="AP89" s="34">
        <f t="shared" si="33"/>
        <v>880815538.19833052</v>
      </c>
      <c r="AQ89" s="28"/>
    </row>
    <row r="90" spans="36:43" ht="15" x14ac:dyDescent="0.25">
      <c r="AJ90" s="38">
        <v>24</v>
      </c>
      <c r="AK90" s="37">
        <v>8.9458636303574952</v>
      </c>
      <c r="AL90" s="37">
        <v>9.5447777501256326E-4</v>
      </c>
      <c r="AM90" s="36">
        <f t="shared" si="34"/>
        <v>3.3447106367876157E-4</v>
      </c>
      <c r="AN90" s="35">
        <f t="shared" si="32"/>
        <v>9.1102782299293327E-7</v>
      </c>
      <c r="AO90" s="23"/>
      <c r="AP90" s="34">
        <f t="shared" si="33"/>
        <v>882802654.47051406</v>
      </c>
      <c r="AQ90" s="28"/>
    </row>
    <row r="91" spans="36:43" ht="15" x14ac:dyDescent="0.25">
      <c r="AJ91" s="38">
        <v>25</v>
      </c>
      <c r="AK91" s="37">
        <v>8.9717256709582234</v>
      </c>
      <c r="AL91" s="37">
        <v>-1.7809466733410773E-2</v>
      </c>
      <c r="AM91" s="36">
        <f t="shared" si="34"/>
        <v>3.5208561351519028E-4</v>
      </c>
      <c r="AN91" s="35">
        <f t="shared" si="32"/>
        <v>3.17177105328465E-4</v>
      </c>
      <c r="AO91" s="23"/>
      <c r="AP91" s="34">
        <f t="shared" si="33"/>
        <v>936969967.92381299</v>
      </c>
      <c r="AQ91" s="28"/>
    </row>
    <row r="92" spans="36:43" ht="15" x14ac:dyDescent="0.25">
      <c r="AJ92" s="38">
        <v>26</v>
      </c>
      <c r="AK92" s="37">
        <v>8.9784086542228696</v>
      </c>
      <c r="AL92" s="37">
        <v>1.7027010807769472E-2</v>
      </c>
      <c r="AM92" s="36">
        <f t="shared" si="34"/>
        <v>1.2135801674771555E-3</v>
      </c>
      <c r="AN92" s="35">
        <f t="shared" si="32"/>
        <v>2.8991909704789839E-4</v>
      </c>
      <c r="AO92" s="23"/>
      <c r="AP92" s="34">
        <f t="shared" si="33"/>
        <v>951499696.77777529</v>
      </c>
      <c r="AQ92" s="28"/>
    </row>
    <row r="93" spans="36:43" ht="15" x14ac:dyDescent="0.25">
      <c r="AJ93" s="38">
        <v>27</v>
      </c>
      <c r="AK93" s="37">
        <v>9.0193148493305308</v>
      </c>
      <c r="AL93" s="37">
        <v>7.5751132880093053E-3</v>
      </c>
      <c r="AM93" s="36">
        <f t="shared" si="34"/>
        <v>8.9338366724048377E-5</v>
      </c>
      <c r="AN93" s="35">
        <f t="shared" si="32"/>
        <v>5.7382341326175149E-5</v>
      </c>
      <c r="AO93" s="23"/>
      <c r="AP93" s="34">
        <f t="shared" si="33"/>
        <v>1045477881.9029406</v>
      </c>
      <c r="AQ93" s="28"/>
    </row>
    <row r="94" spans="36:43" ht="15" x14ac:dyDescent="0.25">
      <c r="AJ94" s="38">
        <v>28</v>
      </c>
      <c r="AK94" s="37">
        <v>9.0555680722864604</v>
      </c>
      <c r="AL94" s="37">
        <v>2.4405061953521212E-2</v>
      </c>
      <c r="AM94" s="36">
        <f t="shared" si="34"/>
        <v>2.83247172083766E-4</v>
      </c>
      <c r="AN94" s="35">
        <f t="shared" si="32"/>
        <v>5.9560704895520865E-4</v>
      </c>
      <c r="AO94" s="23"/>
      <c r="AP94" s="34">
        <f t="shared" si="33"/>
        <v>1136496420.6929433</v>
      </c>
      <c r="AQ94" s="28"/>
    </row>
    <row r="95" spans="36:43" ht="15.75" thickBot="1" x14ac:dyDescent="0.3">
      <c r="AJ95" s="33">
        <v>29</v>
      </c>
      <c r="AK95" s="32">
        <v>9.0988701916813408</v>
      </c>
      <c r="AL95" s="32">
        <v>9.5274614730520568E-3</v>
      </c>
      <c r="AM95" s="31">
        <f t="shared" si="34"/>
        <v>2.2134299605645603E-4</v>
      </c>
      <c r="AN95" s="30">
        <f t="shared" si="32"/>
        <v>9.0772522120491269E-5</v>
      </c>
      <c r="AO95" s="20"/>
      <c r="AP95" s="29">
        <f t="shared" si="33"/>
        <v>1255654599.0963657</v>
      </c>
      <c r="AQ95" s="28"/>
    </row>
    <row r="96" spans="36:43" ht="13.5" thickBot="1" x14ac:dyDescent="0.25"/>
    <row r="97" spans="36:47" x14ac:dyDescent="0.2">
      <c r="AJ97" s="27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5"/>
    </row>
    <row r="98" spans="36:47" x14ac:dyDescent="0.2">
      <c r="AJ98" s="24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2"/>
    </row>
    <row r="99" spans="36:47" x14ac:dyDescent="0.2">
      <c r="AJ99" s="24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2"/>
    </row>
    <row r="100" spans="36:47" x14ac:dyDescent="0.2">
      <c r="AJ100" s="24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2"/>
    </row>
    <row r="101" spans="36:47" x14ac:dyDescent="0.2">
      <c r="AJ101" s="24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2"/>
    </row>
    <row r="102" spans="36:47" x14ac:dyDescent="0.2">
      <c r="AJ102" s="24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2"/>
    </row>
    <row r="103" spans="36:47" x14ac:dyDescent="0.2">
      <c r="AJ103" s="24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2"/>
    </row>
    <row r="104" spans="36:47" x14ac:dyDescent="0.2">
      <c r="AJ104" s="24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2"/>
    </row>
    <row r="105" spans="36:47" x14ac:dyDescent="0.2">
      <c r="AJ105" s="24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2"/>
    </row>
    <row r="106" spans="36:47" x14ac:dyDescent="0.2">
      <c r="AJ106" s="24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2"/>
    </row>
    <row r="107" spans="36:47" x14ac:dyDescent="0.2">
      <c r="AJ107" s="24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2"/>
    </row>
    <row r="108" spans="36:47" x14ac:dyDescent="0.2">
      <c r="AJ108" s="24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2"/>
    </row>
    <row r="109" spans="36:47" x14ac:dyDescent="0.2">
      <c r="AJ109" s="24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2"/>
    </row>
    <row r="110" spans="36:47" x14ac:dyDescent="0.2">
      <c r="AJ110" s="24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2"/>
    </row>
    <row r="111" spans="36:47" x14ac:dyDescent="0.2">
      <c r="AJ111" s="24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2"/>
    </row>
    <row r="112" spans="36:47" x14ac:dyDescent="0.2">
      <c r="AJ112" s="24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2"/>
    </row>
    <row r="113" spans="36:47" x14ac:dyDescent="0.2">
      <c r="AJ113" s="24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2"/>
    </row>
    <row r="114" spans="36:47" x14ac:dyDescent="0.2">
      <c r="AJ114" s="24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2"/>
    </row>
    <row r="115" spans="36:47" x14ac:dyDescent="0.2">
      <c r="AJ115" s="24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2"/>
    </row>
    <row r="116" spans="36:47" x14ac:dyDescent="0.2">
      <c r="AJ116" s="24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2"/>
    </row>
    <row r="117" spans="36:47" x14ac:dyDescent="0.2">
      <c r="AJ117" s="24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2"/>
    </row>
    <row r="118" spans="36:47" x14ac:dyDescent="0.2">
      <c r="AJ118" s="24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2"/>
    </row>
    <row r="119" spans="36:47" x14ac:dyDescent="0.2">
      <c r="AJ119" s="24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2"/>
    </row>
    <row r="120" spans="36:47" x14ac:dyDescent="0.2">
      <c r="AJ120" s="24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2"/>
    </row>
    <row r="121" spans="36:47" x14ac:dyDescent="0.2">
      <c r="AJ121" s="24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2"/>
    </row>
    <row r="122" spans="36:47" x14ac:dyDescent="0.2">
      <c r="AJ122" s="24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2"/>
    </row>
    <row r="123" spans="36:47" x14ac:dyDescent="0.2">
      <c r="AJ123" s="24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2"/>
    </row>
    <row r="124" spans="36:47" x14ac:dyDescent="0.2">
      <c r="AJ124" s="24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2"/>
    </row>
    <row r="125" spans="36:47" x14ac:dyDescent="0.2">
      <c r="AJ125" s="24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2"/>
    </row>
    <row r="126" spans="36:47" x14ac:dyDescent="0.2">
      <c r="AJ126" s="24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2"/>
    </row>
    <row r="127" spans="36:47" x14ac:dyDescent="0.2">
      <c r="AJ127" s="24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2"/>
    </row>
    <row r="128" spans="36:47" x14ac:dyDescent="0.2">
      <c r="AJ128" s="24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2"/>
    </row>
    <row r="129" spans="36:47" x14ac:dyDescent="0.2">
      <c r="AJ129" s="24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2"/>
    </row>
    <row r="130" spans="36:47" x14ac:dyDescent="0.2">
      <c r="AJ130" s="24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2"/>
    </row>
    <row r="131" spans="36:47" x14ac:dyDescent="0.2">
      <c r="AJ131" s="24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2"/>
    </row>
    <row r="132" spans="36:47" x14ac:dyDescent="0.2">
      <c r="AJ132" s="24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2"/>
    </row>
    <row r="133" spans="36:47" x14ac:dyDescent="0.2">
      <c r="AJ133" s="24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2"/>
    </row>
    <row r="134" spans="36:47" x14ac:dyDescent="0.2">
      <c r="AJ134" s="24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2"/>
    </row>
    <row r="135" spans="36:47" x14ac:dyDescent="0.2">
      <c r="AJ135" s="24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2"/>
    </row>
    <row r="136" spans="36:47" x14ac:dyDescent="0.2">
      <c r="AJ136" s="24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2"/>
    </row>
    <row r="137" spans="36:47" x14ac:dyDescent="0.2">
      <c r="AJ137" s="24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2"/>
    </row>
    <row r="138" spans="36:47" x14ac:dyDescent="0.2">
      <c r="AJ138" s="24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2"/>
    </row>
    <row r="139" spans="36:47" x14ac:dyDescent="0.2">
      <c r="AJ139" s="24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2"/>
    </row>
    <row r="140" spans="36:47" ht="13.5" thickBot="1" x14ac:dyDescent="0.25">
      <c r="AJ140" s="21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19"/>
    </row>
  </sheetData>
  <mergeCells count="3">
    <mergeCell ref="X12:AB12"/>
    <mergeCell ref="AX42:AZ42"/>
    <mergeCell ref="AM64:AN6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workbookViewId="0">
      <selection sqref="A1:I19"/>
    </sheetView>
  </sheetViews>
  <sheetFormatPr defaultRowHeight="12.75" x14ac:dyDescent="0.2"/>
  <cols>
    <col min="1" max="1" width="39" style="18" bestFit="1" customWidth="1"/>
    <col min="2" max="2" width="19" style="18" bestFit="1" customWidth="1"/>
    <col min="3" max="3" width="13.7109375" style="18" bestFit="1" customWidth="1"/>
    <col min="4" max="5" width="15" style="18" customWidth="1"/>
    <col min="6" max="6" width="13.5703125" style="18" bestFit="1" customWidth="1"/>
    <col min="7" max="7" width="10.7109375" style="18" bestFit="1" customWidth="1"/>
    <col min="8" max="8" width="12.140625" style="18" bestFit="1" customWidth="1"/>
    <col min="9" max="9" width="12.28515625" style="18" bestFit="1" customWidth="1"/>
    <col min="10" max="10" width="12.28515625" style="18" customWidth="1"/>
    <col min="11" max="16384" width="9.140625" style="18"/>
  </cols>
  <sheetData>
    <row r="1" spans="1:26" x14ac:dyDescent="0.2">
      <c r="A1" s="27" t="s">
        <v>68</v>
      </c>
      <c r="B1" s="26"/>
      <c r="C1" s="26"/>
      <c r="D1" s="26"/>
      <c r="E1" s="26"/>
      <c r="F1" s="26"/>
      <c r="G1" s="26"/>
      <c r="H1" s="26"/>
      <c r="I1" s="25"/>
    </row>
    <row r="2" spans="1:26" ht="13.5" thickBot="1" x14ac:dyDescent="0.25">
      <c r="A2" s="24"/>
      <c r="B2" s="23"/>
      <c r="C2" s="23"/>
      <c r="D2" s="23"/>
      <c r="E2" s="23"/>
      <c r="F2" s="23"/>
      <c r="G2" s="23"/>
      <c r="H2" s="23"/>
      <c r="I2" s="22"/>
    </row>
    <row r="3" spans="1:26" ht="13.5" thickBot="1" x14ac:dyDescent="0.25">
      <c r="A3" s="72" t="s">
        <v>65</v>
      </c>
      <c r="B3" s="71"/>
      <c r="C3" s="23"/>
      <c r="D3" s="23"/>
      <c r="E3" s="23"/>
      <c r="F3" s="23"/>
      <c r="G3" s="23"/>
      <c r="H3" s="127" t="s">
        <v>101</v>
      </c>
      <c r="I3" s="22"/>
    </row>
    <row r="4" spans="1:26" ht="13.5" thickBot="1" x14ac:dyDescent="0.25">
      <c r="A4" s="38" t="s">
        <v>63</v>
      </c>
      <c r="B4" s="125">
        <v>0.55832886432085516</v>
      </c>
      <c r="C4" s="23"/>
      <c r="D4" s="23"/>
      <c r="E4" s="23"/>
      <c r="F4" s="23"/>
      <c r="G4" s="23"/>
      <c r="H4" s="126">
        <f>D24</f>
        <v>2.2638013825641581</v>
      </c>
      <c r="I4" s="22"/>
    </row>
    <row r="5" spans="1:26" ht="13.5" thickBot="1" x14ac:dyDescent="0.25">
      <c r="A5" s="38" t="s">
        <v>62</v>
      </c>
      <c r="B5" s="125">
        <v>0.31173112073381593</v>
      </c>
      <c r="C5" s="23"/>
      <c r="D5" s="23"/>
      <c r="E5" s="23"/>
      <c r="F5" s="23"/>
      <c r="G5" s="23"/>
      <c r="H5" s="23"/>
      <c r="I5" s="22"/>
    </row>
    <row r="6" spans="1:26" x14ac:dyDescent="0.2">
      <c r="A6" s="38" t="s">
        <v>61</v>
      </c>
      <c r="B6" s="125">
        <v>0.25188165297153903</v>
      </c>
      <c r="C6" s="23"/>
      <c r="D6" s="23"/>
      <c r="E6" s="23"/>
      <c r="F6" s="23"/>
      <c r="G6" s="23"/>
      <c r="H6" s="23"/>
      <c r="I6" s="22"/>
      <c r="K6" s="27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5"/>
    </row>
    <row r="7" spans="1:26" x14ac:dyDescent="0.2">
      <c r="A7" s="38" t="s">
        <v>49</v>
      </c>
      <c r="B7" s="63">
        <v>35145134.680454277</v>
      </c>
      <c r="C7" s="23"/>
      <c r="D7" s="23"/>
      <c r="E7" s="23"/>
      <c r="F7" s="23"/>
      <c r="G7" s="23"/>
      <c r="H7" s="23"/>
      <c r="I7" s="22"/>
      <c r="K7" s="24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2"/>
    </row>
    <row r="8" spans="1:26" ht="13.5" thickBot="1" x14ac:dyDescent="0.25">
      <c r="A8" s="33" t="s">
        <v>60</v>
      </c>
      <c r="B8" s="62">
        <v>26</v>
      </c>
      <c r="C8" s="23"/>
      <c r="D8" s="23"/>
      <c r="E8" s="23"/>
      <c r="F8" s="23"/>
      <c r="G8" s="23"/>
      <c r="H8" s="23"/>
      <c r="I8" s="22"/>
      <c r="K8" s="24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2"/>
    </row>
    <row r="9" spans="1:26" x14ac:dyDescent="0.2">
      <c r="A9" s="24"/>
      <c r="B9" s="23"/>
      <c r="C9" s="23"/>
      <c r="D9" s="23"/>
      <c r="E9" s="23"/>
      <c r="F9" s="23"/>
      <c r="G9" s="23"/>
      <c r="H9" s="23"/>
      <c r="I9" s="22"/>
      <c r="K9" s="24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2"/>
    </row>
    <row r="10" spans="1:26" ht="13.5" thickBot="1" x14ac:dyDescent="0.25">
      <c r="A10" s="24" t="s">
        <v>59</v>
      </c>
      <c r="B10" s="23"/>
      <c r="C10" s="23"/>
      <c r="D10" s="23"/>
      <c r="E10" s="23"/>
      <c r="F10" s="23"/>
      <c r="G10" s="23"/>
      <c r="H10" s="23"/>
      <c r="I10" s="22"/>
      <c r="K10" s="24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2"/>
    </row>
    <row r="11" spans="1:26" x14ac:dyDescent="0.2">
      <c r="A11" s="47"/>
      <c r="B11" s="45" t="s">
        <v>58</v>
      </c>
      <c r="C11" s="45" t="s">
        <v>57</v>
      </c>
      <c r="D11" s="45" t="s">
        <v>56</v>
      </c>
      <c r="E11" s="45" t="s">
        <v>55</v>
      </c>
      <c r="F11" s="45" t="s">
        <v>54</v>
      </c>
      <c r="G11" s="23"/>
      <c r="H11" s="23"/>
      <c r="I11" s="22"/>
      <c r="K11" s="24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2"/>
    </row>
    <row r="12" spans="1:26" x14ac:dyDescent="0.2">
      <c r="A12" s="38" t="s">
        <v>53</v>
      </c>
      <c r="B12" s="63">
        <v>2</v>
      </c>
      <c r="C12" s="124">
        <v>1.2867088493346516E+16</v>
      </c>
      <c r="D12" s="124">
        <v>6433544246673258</v>
      </c>
      <c r="E12" s="57">
        <v>5.2085863482030845</v>
      </c>
      <c r="F12" s="123">
        <v>1.3621299088560341E-2</v>
      </c>
      <c r="G12" s="23"/>
      <c r="H12" s="23"/>
      <c r="I12" s="22"/>
      <c r="K12" s="24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2"/>
    </row>
    <row r="13" spans="1:26" x14ac:dyDescent="0.2">
      <c r="A13" s="38" t="s">
        <v>52</v>
      </c>
      <c r="B13" s="63">
        <v>23</v>
      </c>
      <c r="C13" s="124">
        <v>2.8409151309267204E+16</v>
      </c>
      <c r="D13" s="124">
        <v>1235180491707269.7</v>
      </c>
      <c r="E13" s="123"/>
      <c r="F13" s="123"/>
      <c r="G13" s="23"/>
      <c r="H13" s="23"/>
      <c r="I13" s="22"/>
      <c r="K13" s="24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2"/>
    </row>
    <row r="14" spans="1:26" ht="13.5" thickBot="1" x14ac:dyDescent="0.25">
      <c r="A14" s="33" t="s">
        <v>51</v>
      </c>
      <c r="B14" s="62">
        <v>25</v>
      </c>
      <c r="C14" s="122">
        <v>4.127623980261372E+16</v>
      </c>
      <c r="D14" s="122"/>
      <c r="E14" s="121"/>
      <c r="F14" s="121"/>
      <c r="G14" s="23"/>
      <c r="H14" s="23"/>
      <c r="I14" s="22"/>
      <c r="K14" s="24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2"/>
    </row>
    <row r="15" spans="1:26" ht="13.5" thickBot="1" x14ac:dyDescent="0.25">
      <c r="A15" s="24"/>
      <c r="B15" s="23"/>
      <c r="C15" s="23"/>
      <c r="D15" s="23"/>
      <c r="E15" s="23"/>
      <c r="F15" s="23"/>
      <c r="G15" s="23"/>
      <c r="H15" s="23"/>
      <c r="I15" s="22"/>
      <c r="K15" s="24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2"/>
    </row>
    <row r="16" spans="1:26" x14ac:dyDescent="0.2">
      <c r="A16" s="47"/>
      <c r="B16" s="45" t="s">
        <v>50</v>
      </c>
      <c r="C16" s="45" t="s">
        <v>49</v>
      </c>
      <c r="D16" s="45" t="s">
        <v>48</v>
      </c>
      <c r="E16" s="45" t="s">
        <v>47</v>
      </c>
      <c r="F16" s="45" t="s">
        <v>46</v>
      </c>
      <c r="G16" s="45" t="s">
        <v>45</v>
      </c>
      <c r="H16" s="45" t="s">
        <v>44</v>
      </c>
      <c r="I16" s="120" t="s">
        <v>43</v>
      </c>
      <c r="J16" s="119"/>
      <c r="K16" s="24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2"/>
    </row>
    <row r="17" spans="1:26" x14ac:dyDescent="0.2">
      <c r="A17" s="38" t="s">
        <v>42</v>
      </c>
      <c r="B17" s="112">
        <v>32414501.605661225</v>
      </c>
      <c r="C17" s="112">
        <v>9539327.0683574304</v>
      </c>
      <c r="D17" s="58">
        <v>3.3979861863822909</v>
      </c>
      <c r="E17" s="56">
        <v>2.470549217704262E-3</v>
      </c>
      <c r="F17" s="112">
        <v>12680900.067427188</v>
      </c>
      <c r="G17" s="112">
        <v>52148103.143895261</v>
      </c>
      <c r="H17" s="112">
        <v>12680900.067427188</v>
      </c>
      <c r="I17" s="118">
        <v>52148103.143895261</v>
      </c>
      <c r="J17" s="63"/>
      <c r="K17" s="24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2"/>
    </row>
    <row r="18" spans="1:26" x14ac:dyDescent="0.2">
      <c r="A18" s="38" t="s">
        <v>72</v>
      </c>
      <c r="B18" s="112">
        <v>113400508.95028035</v>
      </c>
      <c r="C18" s="112">
        <v>79483046.014708519</v>
      </c>
      <c r="D18" s="58">
        <v>1.4267257564499394</v>
      </c>
      <c r="E18" s="56">
        <v>0.16709382342690066</v>
      </c>
      <c r="F18" s="112">
        <v>-51022699.087333903</v>
      </c>
      <c r="G18" s="112">
        <v>277823716.98789459</v>
      </c>
      <c r="H18" s="112">
        <v>-51022699.087333903</v>
      </c>
      <c r="I18" s="118">
        <v>277823716.98789459</v>
      </c>
      <c r="J18" s="63"/>
      <c r="K18" s="24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2"/>
    </row>
    <row r="19" spans="1:26" ht="13.5" thickBot="1" x14ac:dyDescent="0.25">
      <c r="A19" s="33" t="s">
        <v>71</v>
      </c>
      <c r="B19" s="109">
        <v>8887837.422783751</v>
      </c>
      <c r="C19" s="109">
        <v>2761438.0413220329</v>
      </c>
      <c r="D19" s="54">
        <v>3.2185539888226922</v>
      </c>
      <c r="E19" s="52">
        <v>3.8060200236805066E-3</v>
      </c>
      <c r="F19" s="109">
        <v>3175367.602902255</v>
      </c>
      <c r="G19" s="109">
        <v>14600307.242665246</v>
      </c>
      <c r="H19" s="109">
        <v>3175367.602902255</v>
      </c>
      <c r="I19" s="117">
        <v>14600307.242665246</v>
      </c>
      <c r="J19" s="63"/>
      <c r="K19" s="24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2"/>
    </row>
    <row r="20" spans="1:26" x14ac:dyDescent="0.2"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2"/>
    </row>
    <row r="21" spans="1:26" x14ac:dyDescent="0.2"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2"/>
    </row>
    <row r="22" spans="1:26" ht="13.5" thickBot="1" x14ac:dyDescent="0.25">
      <c r="K22" s="24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2"/>
    </row>
    <row r="23" spans="1:26" ht="13.5" thickBot="1" x14ac:dyDescent="0.25">
      <c r="A23" s="18" t="s">
        <v>39</v>
      </c>
      <c r="D23" s="153" t="s">
        <v>38</v>
      </c>
      <c r="E23" s="154"/>
      <c r="K23" s="24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2"/>
    </row>
    <row r="24" spans="1:26" ht="13.5" thickBot="1" x14ac:dyDescent="0.25">
      <c r="D24" s="49">
        <f>D25/E25</f>
        <v>2.2638013825641581</v>
      </c>
      <c r="E24" s="116"/>
      <c r="K24" s="24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2"/>
    </row>
    <row r="25" spans="1:26" ht="26.25" customHeight="1" thickBot="1" x14ac:dyDescent="0.25">
      <c r="A25" s="46" t="s">
        <v>37</v>
      </c>
      <c r="B25" s="46" t="s">
        <v>100</v>
      </c>
      <c r="C25" s="46" t="s">
        <v>35</v>
      </c>
      <c r="D25" s="115">
        <f>SUM(D26:D51)</f>
        <v>6.4312676011393456E+16</v>
      </c>
      <c r="E25" s="115">
        <f>SUM(E26:E51)</f>
        <v>2.8409151309267204E+16</v>
      </c>
      <c r="F25" s="40"/>
      <c r="G25" s="40"/>
      <c r="H25" s="40"/>
      <c r="I25" s="40"/>
      <c r="K25" s="24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2"/>
    </row>
    <row r="26" spans="1:26" x14ac:dyDescent="0.2">
      <c r="A26" s="63">
        <v>1</v>
      </c>
      <c r="B26" s="112">
        <v>69362260.60251233</v>
      </c>
      <c r="C26" s="112">
        <v>-43752002.602512449</v>
      </c>
      <c r="D26" s="114"/>
      <c r="E26" s="113">
        <f t="shared" ref="E26:E51" si="0">C26^2</f>
        <v>1914237731730256</v>
      </c>
      <c r="K26" s="24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2"/>
    </row>
    <row r="27" spans="1:26" x14ac:dyDescent="0.2">
      <c r="A27" s="63">
        <v>2</v>
      </c>
      <c r="B27" s="112">
        <v>51933573.221647285</v>
      </c>
      <c r="C27" s="112">
        <v>-18561678.221647225</v>
      </c>
      <c r="D27" s="111">
        <f t="shared" ref="D27:D51" si="1">(C27-C26)^2</f>
        <v>634552442413212.87</v>
      </c>
      <c r="E27" s="110">
        <f t="shared" si="0"/>
        <v>344535898403972.87</v>
      </c>
      <c r="K27" s="24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2"/>
    </row>
    <row r="28" spans="1:26" x14ac:dyDescent="0.2">
      <c r="A28" s="63">
        <v>3</v>
      </c>
      <c r="B28" s="112">
        <v>51241334.940358154</v>
      </c>
      <c r="C28" s="112">
        <v>16137495.059641846</v>
      </c>
      <c r="D28" s="111">
        <f t="shared" si="1"/>
        <v>1204032626404925.2</v>
      </c>
      <c r="E28" s="110">
        <f t="shared" si="0"/>
        <v>260418746799964.97</v>
      </c>
      <c r="K28" s="24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2"/>
    </row>
    <row r="29" spans="1:26" x14ac:dyDescent="0.2">
      <c r="A29" s="63">
        <v>4</v>
      </c>
      <c r="B29" s="112">
        <v>-9416659.7547914907</v>
      </c>
      <c r="C29" s="112">
        <v>1583918.7547914311</v>
      </c>
      <c r="D29" s="111">
        <f t="shared" si="1"/>
        <v>211806583261103.44</v>
      </c>
      <c r="E29" s="110">
        <f t="shared" si="0"/>
        <v>2508798621780.0376</v>
      </c>
      <c r="K29" s="24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2"/>
    </row>
    <row r="30" spans="1:26" x14ac:dyDescent="0.2">
      <c r="A30" s="63">
        <v>5</v>
      </c>
      <c r="B30" s="112">
        <v>39879226.160697967</v>
      </c>
      <c r="C30" s="112">
        <v>-42988077.160697848</v>
      </c>
      <c r="D30" s="111">
        <f t="shared" si="1"/>
        <v>1986662819890393</v>
      </c>
      <c r="E30" s="110">
        <f t="shared" si="0"/>
        <v>1847974777974112</v>
      </c>
      <c r="K30" s="24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2"/>
    </row>
    <row r="31" spans="1:26" x14ac:dyDescent="0.2">
      <c r="A31" s="63">
        <v>6</v>
      </c>
      <c r="B31" s="112">
        <v>66549161.053712413</v>
      </c>
      <c r="C31" s="112">
        <v>44436557.946287528</v>
      </c>
      <c r="D31" s="111">
        <f t="shared" si="1"/>
        <v>7643066823589540</v>
      </c>
      <c r="E31" s="110">
        <f t="shared" si="0"/>
        <v>1974607682113769.2</v>
      </c>
      <c r="K31" s="24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2"/>
    </row>
    <row r="32" spans="1:26" x14ac:dyDescent="0.2">
      <c r="A32" s="63">
        <v>7</v>
      </c>
      <c r="B32" s="112">
        <v>67786335.244924575</v>
      </c>
      <c r="C32" s="112">
        <v>-42042388.244924456</v>
      </c>
      <c r="D32" s="111">
        <f t="shared" si="1"/>
        <v>7478608134342538</v>
      </c>
      <c r="E32" s="110">
        <f t="shared" si="0"/>
        <v>1767562409336962</v>
      </c>
      <c r="K32" s="24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2"/>
    </row>
    <row r="33" spans="1:26" x14ac:dyDescent="0.2">
      <c r="A33" s="63">
        <v>8</v>
      </c>
      <c r="B33" s="112">
        <v>8967243.6121046022</v>
      </c>
      <c r="C33" s="112">
        <v>16034335.387895279</v>
      </c>
      <c r="D33" s="111">
        <f t="shared" si="1"/>
        <v>3372905827922922.5</v>
      </c>
      <c r="E33" s="110">
        <f t="shared" si="0"/>
        <v>257099911331510.84</v>
      </c>
      <c r="K33" s="24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2"/>
    </row>
    <row r="34" spans="1:26" x14ac:dyDescent="0.2">
      <c r="A34" s="63">
        <v>9</v>
      </c>
      <c r="B34" s="112">
        <v>45901353.416698158</v>
      </c>
      <c r="C34" s="112">
        <v>1844851.5833018422</v>
      </c>
      <c r="D34" s="111">
        <f t="shared" si="1"/>
        <v>201341450640819.44</v>
      </c>
      <c r="E34" s="110">
        <f t="shared" si="0"/>
        <v>3403477364411.314</v>
      </c>
      <c r="K34" s="24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2"/>
    </row>
    <row r="35" spans="1:26" x14ac:dyDescent="0.2">
      <c r="A35" s="63">
        <v>10</v>
      </c>
      <c r="B35" s="112">
        <v>68183916.323117942</v>
      </c>
      <c r="C35" s="112">
        <v>-3186041.3231178224</v>
      </c>
      <c r="D35" s="111">
        <f t="shared" si="1"/>
        <v>25309883435863.699</v>
      </c>
      <c r="E35" s="110">
        <f t="shared" si="0"/>
        <v>10150859312614.365</v>
      </c>
      <c r="K35" s="24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2"/>
    </row>
    <row r="36" spans="1:26" x14ac:dyDescent="0.2">
      <c r="A36" s="63">
        <v>11</v>
      </c>
      <c r="B36" s="112">
        <v>2152401.2035372257</v>
      </c>
      <c r="C36" s="112">
        <v>6571412.7964626551</v>
      </c>
      <c r="D36" s="111">
        <f t="shared" si="1"/>
        <v>95207910895718.031</v>
      </c>
      <c r="E36" s="110">
        <f t="shared" si="0"/>
        <v>43183466141513.133</v>
      </c>
      <c r="K36" s="24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2"/>
    </row>
    <row r="37" spans="1:26" ht="13.5" thickBot="1" x14ac:dyDescent="0.25">
      <c r="A37" s="63">
        <v>12</v>
      </c>
      <c r="B37" s="112">
        <v>13829165.61559128</v>
      </c>
      <c r="C37" s="112">
        <v>6886557.3844087198</v>
      </c>
      <c r="D37" s="111">
        <f t="shared" si="1"/>
        <v>99316111311.694946</v>
      </c>
      <c r="E37" s="110">
        <f t="shared" si="0"/>
        <v>47424672608754.266</v>
      </c>
      <c r="K37" s="21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19"/>
    </row>
    <row r="38" spans="1:26" x14ac:dyDescent="0.2">
      <c r="A38" s="63">
        <v>13</v>
      </c>
      <c r="B38" s="112">
        <v>29053291.236961119</v>
      </c>
      <c r="C38" s="112">
        <v>-36651471.236961119</v>
      </c>
      <c r="D38" s="111">
        <f t="shared" si="1"/>
        <v>1895559936235219.2</v>
      </c>
      <c r="E38" s="110">
        <f t="shared" si="0"/>
        <v>1343330343833788.2</v>
      </c>
    </row>
    <row r="39" spans="1:26" x14ac:dyDescent="0.2">
      <c r="A39" s="63">
        <v>14</v>
      </c>
      <c r="B39" s="112">
        <v>17480858.322165489</v>
      </c>
      <c r="C39" s="112">
        <v>26874193.677834511</v>
      </c>
      <c r="D39" s="111">
        <f t="shared" si="1"/>
        <v>4035510102866896.5</v>
      </c>
      <c r="E39" s="110">
        <f t="shared" si="0"/>
        <v>722222285833760.37</v>
      </c>
    </row>
    <row r="40" spans="1:26" x14ac:dyDescent="0.2">
      <c r="A40" s="63">
        <v>15</v>
      </c>
      <c r="B40" s="112">
        <v>28555496.539329518</v>
      </c>
      <c r="C40" s="112">
        <v>18926409.460670482</v>
      </c>
      <c r="D40" s="111">
        <f t="shared" si="1"/>
        <v>63167273962601.625</v>
      </c>
      <c r="E40" s="110">
        <f t="shared" si="0"/>
        <v>358208975072957.12</v>
      </c>
    </row>
    <row r="41" spans="1:26" x14ac:dyDescent="0.2">
      <c r="A41" s="63">
        <v>16</v>
      </c>
      <c r="B41" s="112">
        <v>14886307.484532207</v>
      </c>
      <c r="C41" s="112">
        <v>-60034509.484532207</v>
      </c>
      <c r="D41" s="111">
        <f t="shared" si="1"/>
        <v>6234826720670870</v>
      </c>
      <c r="E41" s="110">
        <f t="shared" si="0"/>
        <v>3604142329048387.5</v>
      </c>
    </row>
    <row r="42" spans="1:26" x14ac:dyDescent="0.2">
      <c r="A42" s="63">
        <v>17</v>
      </c>
      <c r="B42" s="112">
        <v>19416831.383828301</v>
      </c>
      <c r="C42" s="112">
        <v>4186324.616171699</v>
      </c>
      <c r="D42" s="111">
        <f t="shared" si="1"/>
        <v>4124315532590134</v>
      </c>
      <c r="E42" s="110">
        <f t="shared" si="0"/>
        <v>17525313791965.123</v>
      </c>
    </row>
    <row r="43" spans="1:26" x14ac:dyDescent="0.2">
      <c r="A43" s="63">
        <v>18</v>
      </c>
      <c r="B43" s="112">
        <v>37445340.074686386</v>
      </c>
      <c r="C43" s="112">
        <v>3824484.9253136143</v>
      </c>
      <c r="D43" s="111">
        <f t="shared" si="1"/>
        <v>130927961880.27431</v>
      </c>
      <c r="E43" s="110">
        <f t="shared" si="0"/>
        <v>14626684943951.082</v>
      </c>
    </row>
    <row r="44" spans="1:26" x14ac:dyDescent="0.2">
      <c r="A44" s="63">
        <v>19</v>
      </c>
      <c r="B44" s="112">
        <v>40751774.938097581</v>
      </c>
      <c r="C44" s="112">
        <v>-25370114.938097581</v>
      </c>
      <c r="D44" s="111">
        <f t="shared" si="1"/>
        <v>852324661184689</v>
      </c>
      <c r="E44" s="110">
        <f t="shared" si="0"/>
        <v>643642731972282</v>
      </c>
    </row>
    <row r="45" spans="1:26" x14ac:dyDescent="0.2">
      <c r="A45" s="63">
        <v>20</v>
      </c>
      <c r="B45" s="112">
        <v>23977134.211774655</v>
      </c>
      <c r="C45" s="112">
        <v>-35531990.211774774</v>
      </c>
      <c r="D45" s="111">
        <f t="shared" si="1"/>
        <v>103263709077771.92</v>
      </c>
      <c r="E45" s="110">
        <f t="shared" si="0"/>
        <v>1262522328409658.2</v>
      </c>
    </row>
    <row r="46" spans="1:26" x14ac:dyDescent="0.2">
      <c r="A46" s="63">
        <v>21</v>
      </c>
      <c r="B46" s="112">
        <v>18929957.383337256</v>
      </c>
      <c r="C46" s="112">
        <v>19463277.616662983</v>
      </c>
      <c r="D46" s="111">
        <f t="shared" si="1"/>
        <v>3024479483521601.5</v>
      </c>
      <c r="E46" s="110">
        <f t="shared" si="0"/>
        <v>378819175583294.31</v>
      </c>
    </row>
    <row r="47" spans="1:26" x14ac:dyDescent="0.2">
      <c r="A47" s="63">
        <v>22</v>
      </c>
      <c r="B47" s="112">
        <v>36695060.796164259</v>
      </c>
      <c r="C47" s="112">
        <v>-22115999.796164379</v>
      </c>
      <c r="D47" s="111">
        <f t="shared" si="1"/>
        <v>1728836310172855.2</v>
      </c>
      <c r="E47" s="110">
        <f t="shared" si="0"/>
        <v>489117446983942.81</v>
      </c>
    </row>
    <row r="48" spans="1:26" x14ac:dyDescent="0.2">
      <c r="A48" s="63">
        <v>23</v>
      </c>
      <c r="B48" s="112">
        <v>39732808.083800465</v>
      </c>
      <c r="C48" s="112">
        <v>50488413.916199535</v>
      </c>
      <c r="D48" s="111">
        <f t="shared" si="1"/>
        <v>5271400890516097</v>
      </c>
      <c r="E48" s="110">
        <f t="shared" si="0"/>
        <v>2549079939773491</v>
      </c>
    </row>
    <row r="49" spans="1:7" x14ac:dyDescent="0.2">
      <c r="A49" s="63">
        <v>24</v>
      </c>
      <c r="B49" s="112">
        <v>59678090.356959611</v>
      </c>
      <c r="C49" s="112">
        <v>14650074.643040389</v>
      </c>
      <c r="D49" s="111">
        <f t="shared" si="1"/>
        <v>1284386561858061.2</v>
      </c>
      <c r="E49" s="110">
        <f t="shared" si="0"/>
        <v>214624687046654.97</v>
      </c>
    </row>
    <row r="50" spans="1:7" x14ac:dyDescent="0.2">
      <c r="A50" s="63">
        <v>25</v>
      </c>
      <c r="B50" s="112">
        <v>47295659.837458342</v>
      </c>
      <c r="C50" s="112">
        <v>91020974.162541658</v>
      </c>
      <c r="D50" s="111">
        <f t="shared" si="1"/>
        <v>5832514293417759</v>
      </c>
      <c r="E50" s="110">
        <f t="shared" si="0"/>
        <v>8284817737498076</v>
      </c>
    </row>
    <row r="51" spans="1:7" x14ac:dyDescent="0.2">
      <c r="A51" s="63">
        <v>26</v>
      </c>
      <c r="B51" s="112">
        <v>74010205.710794255</v>
      </c>
      <c r="C51" s="112">
        <v>7304991.2892057449</v>
      </c>
      <c r="D51" s="111">
        <f t="shared" si="1"/>
        <v>7008365788448672</v>
      </c>
      <c r="E51" s="110">
        <f t="shared" si="0"/>
        <v>53362897735371.812</v>
      </c>
    </row>
    <row r="52" spans="1:7" ht="15.75" thickBot="1" x14ac:dyDescent="0.3">
      <c r="A52" s="62"/>
      <c r="B52" s="109"/>
      <c r="C52" s="109"/>
      <c r="D52" s="31"/>
      <c r="E52" s="30"/>
      <c r="G52" s="28"/>
    </row>
  </sheetData>
  <mergeCells count="1">
    <mergeCell ref="D23:E2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/>
  </sheetViews>
  <sheetFormatPr defaultRowHeight="12.75" x14ac:dyDescent="0.2"/>
  <cols>
    <col min="1" max="1" width="47.28515625" style="18" bestFit="1" customWidth="1"/>
    <col min="2" max="2" width="11.42578125" style="18" bestFit="1" customWidth="1"/>
    <col min="3" max="3" width="18.28515625" style="18" bestFit="1" customWidth="1"/>
    <col min="4" max="4" width="17.28515625" style="18" bestFit="1" customWidth="1"/>
    <col min="5" max="5" width="10.5703125" style="18" bestFit="1" customWidth="1"/>
    <col min="6" max="6" width="13.7109375" style="18" bestFit="1" customWidth="1"/>
    <col min="7" max="7" width="10.7109375" style="18" bestFit="1" customWidth="1"/>
    <col min="8" max="8" width="12.140625" style="18" bestFit="1" customWidth="1"/>
    <col min="9" max="9" width="12.28515625" style="18" bestFit="1" customWidth="1"/>
    <col min="10" max="11" width="7.140625" style="18" customWidth="1"/>
    <col min="12" max="16384" width="9.140625" style="18"/>
  </cols>
  <sheetData>
    <row r="1" spans="1:11" x14ac:dyDescent="0.2">
      <c r="A1" s="27" t="s">
        <v>68</v>
      </c>
      <c r="B1" s="26"/>
      <c r="C1" s="26"/>
      <c r="D1" s="26"/>
      <c r="E1" s="26"/>
      <c r="F1" s="26"/>
      <c r="G1" s="26"/>
      <c r="H1" s="26"/>
      <c r="I1" s="25"/>
    </row>
    <row r="2" spans="1:11" ht="13.5" thickBot="1" x14ac:dyDescent="0.25">
      <c r="A2" s="24"/>
      <c r="B2" s="23"/>
      <c r="C2" s="23"/>
      <c r="D2" s="23"/>
      <c r="E2" s="23"/>
      <c r="F2" s="23"/>
      <c r="G2" s="23"/>
      <c r="H2" s="23"/>
      <c r="I2" s="22"/>
    </row>
    <row r="3" spans="1:11" x14ac:dyDescent="0.2">
      <c r="A3" s="72" t="s">
        <v>65</v>
      </c>
      <c r="B3" s="71"/>
      <c r="C3" s="23"/>
      <c r="D3" s="23"/>
      <c r="E3" s="23"/>
      <c r="F3" s="23"/>
      <c r="G3" s="23"/>
      <c r="H3" s="23"/>
      <c r="I3" s="22"/>
    </row>
    <row r="4" spans="1:11" x14ac:dyDescent="0.2">
      <c r="A4" s="38" t="s">
        <v>63</v>
      </c>
      <c r="B4" s="125">
        <v>0.40391236794615526</v>
      </c>
      <c r="C4" s="23"/>
      <c r="D4" s="23"/>
      <c r="E4" s="23"/>
      <c r="F4" s="23"/>
      <c r="G4" s="23"/>
      <c r="H4" s="23"/>
      <c r="I4" s="22"/>
    </row>
    <row r="5" spans="1:11" x14ac:dyDescent="0.2">
      <c r="A5" s="38" t="s">
        <v>62</v>
      </c>
      <c r="B5" s="125">
        <v>0.16314520097987031</v>
      </c>
      <c r="C5" s="23"/>
      <c r="D5" s="23"/>
      <c r="E5" s="23"/>
      <c r="F5" s="23"/>
      <c r="G5" s="23"/>
      <c r="H5" s="23"/>
      <c r="I5" s="22"/>
    </row>
    <row r="6" spans="1:11" x14ac:dyDescent="0.2">
      <c r="A6" s="38" t="s">
        <v>61</v>
      </c>
      <c r="B6" s="125">
        <v>9.6196817058259929E-2</v>
      </c>
      <c r="C6" s="23"/>
      <c r="D6" s="23"/>
      <c r="E6" s="23"/>
      <c r="F6" s="23"/>
      <c r="G6" s="23"/>
      <c r="H6" s="23"/>
      <c r="I6" s="22"/>
    </row>
    <row r="7" spans="1:11" x14ac:dyDescent="0.2">
      <c r="A7" s="38" t="s">
        <v>49</v>
      </c>
      <c r="B7" s="63">
        <v>37828179.001012132</v>
      </c>
      <c r="C7" s="23"/>
      <c r="D7" s="23"/>
      <c r="E7" s="23"/>
      <c r="F7" s="23"/>
      <c r="G7" s="23"/>
      <c r="H7" s="23"/>
      <c r="I7" s="22"/>
    </row>
    <row r="8" spans="1:11" ht="13.5" thickBot="1" x14ac:dyDescent="0.25">
      <c r="A8" s="33" t="s">
        <v>60</v>
      </c>
      <c r="B8" s="62">
        <v>28</v>
      </c>
      <c r="C8" s="23"/>
      <c r="D8" s="23"/>
      <c r="E8" s="23"/>
      <c r="F8" s="23"/>
      <c r="G8" s="23"/>
      <c r="H8" s="23"/>
      <c r="I8" s="22"/>
    </row>
    <row r="9" spans="1:11" x14ac:dyDescent="0.2">
      <c r="A9" s="24"/>
      <c r="B9" s="23"/>
      <c r="C9" s="23"/>
      <c r="D9" s="23"/>
      <c r="E9" s="23"/>
      <c r="F9" s="23"/>
      <c r="G9" s="23"/>
      <c r="H9" s="23"/>
      <c r="I9" s="22"/>
    </row>
    <row r="10" spans="1:11" ht="13.5" thickBot="1" x14ac:dyDescent="0.25">
      <c r="A10" s="24" t="s">
        <v>59</v>
      </c>
      <c r="B10" s="23"/>
      <c r="C10" s="23"/>
      <c r="D10" s="23"/>
      <c r="E10" s="23"/>
      <c r="F10" s="23"/>
      <c r="G10" s="23"/>
      <c r="H10" s="23"/>
      <c r="I10" s="22"/>
    </row>
    <row r="11" spans="1:11" x14ac:dyDescent="0.2">
      <c r="A11" s="47"/>
      <c r="B11" s="45" t="s">
        <v>58</v>
      </c>
      <c r="C11" s="45" t="s">
        <v>57</v>
      </c>
      <c r="D11" s="45" t="s">
        <v>56</v>
      </c>
      <c r="E11" s="45" t="s">
        <v>55</v>
      </c>
      <c r="F11" s="45" t="s">
        <v>54</v>
      </c>
      <c r="G11" s="23"/>
      <c r="H11" s="23"/>
      <c r="I11" s="22"/>
    </row>
    <row r="12" spans="1:11" x14ac:dyDescent="0.2">
      <c r="A12" s="38" t="s">
        <v>53</v>
      </c>
      <c r="B12" s="63">
        <v>2</v>
      </c>
      <c r="C12" s="112">
        <v>6974210828088332</v>
      </c>
      <c r="D12" s="112">
        <v>3487105414044166</v>
      </c>
      <c r="E12" s="123">
        <v>2.4368803460722286</v>
      </c>
      <c r="F12" s="123">
        <v>0.10792607600190661</v>
      </c>
      <c r="G12" s="23"/>
      <c r="H12" s="23"/>
      <c r="I12" s="22"/>
    </row>
    <row r="13" spans="1:11" x14ac:dyDescent="0.2">
      <c r="A13" s="38" t="s">
        <v>52</v>
      </c>
      <c r="B13" s="63">
        <v>25</v>
      </c>
      <c r="C13" s="112">
        <v>3.577427816331538E+16</v>
      </c>
      <c r="D13" s="112">
        <v>1430971126532615.2</v>
      </c>
      <c r="E13" s="123"/>
      <c r="F13" s="123"/>
      <c r="G13" s="23"/>
      <c r="H13" s="23"/>
      <c r="I13" s="22"/>
    </row>
    <row r="14" spans="1:11" ht="13.5" thickBot="1" x14ac:dyDescent="0.25">
      <c r="A14" s="33" t="s">
        <v>51</v>
      </c>
      <c r="B14" s="62">
        <v>27</v>
      </c>
      <c r="C14" s="109">
        <v>4.2748488991403712E+16</v>
      </c>
      <c r="D14" s="109"/>
      <c r="E14" s="121"/>
      <c r="F14" s="121"/>
      <c r="G14" s="23"/>
      <c r="H14" s="23"/>
      <c r="I14" s="22"/>
    </row>
    <row r="15" spans="1:11" ht="13.5" thickBot="1" x14ac:dyDescent="0.25">
      <c r="A15" s="24"/>
      <c r="B15" s="23"/>
      <c r="C15" s="23"/>
      <c r="D15" s="23"/>
      <c r="E15" s="23"/>
      <c r="F15" s="23"/>
      <c r="G15" s="23"/>
      <c r="H15" s="23"/>
      <c r="I15" s="22"/>
    </row>
    <row r="16" spans="1:11" x14ac:dyDescent="0.2">
      <c r="A16" s="47"/>
      <c r="B16" s="45" t="s">
        <v>50</v>
      </c>
      <c r="C16" s="45" t="s">
        <v>49</v>
      </c>
      <c r="D16" s="45" t="s">
        <v>48</v>
      </c>
      <c r="E16" s="45" t="s">
        <v>47</v>
      </c>
      <c r="F16" s="45" t="s">
        <v>46</v>
      </c>
      <c r="G16" s="45" t="s">
        <v>45</v>
      </c>
      <c r="H16" s="45" t="s">
        <v>44</v>
      </c>
      <c r="I16" s="120" t="s">
        <v>43</v>
      </c>
      <c r="J16" s="133"/>
      <c r="K16" s="133"/>
    </row>
    <row r="17" spans="1:11" x14ac:dyDescent="0.2">
      <c r="A17" s="38" t="s">
        <v>42</v>
      </c>
      <c r="B17" s="112">
        <v>35755353.561777823</v>
      </c>
      <c r="C17" s="112">
        <v>9781960.7799952514</v>
      </c>
      <c r="D17" s="58">
        <v>3.6552337885978705</v>
      </c>
      <c r="E17" s="56">
        <v>1.1939517790285489E-3</v>
      </c>
      <c r="F17" s="112">
        <v>15609028.213856883</v>
      </c>
      <c r="G17" s="112">
        <v>55901678.909698762</v>
      </c>
      <c r="H17" s="112">
        <v>15609028.213856883</v>
      </c>
      <c r="I17" s="118">
        <v>55901678.909698762</v>
      </c>
      <c r="J17" s="112"/>
      <c r="K17" s="112"/>
    </row>
    <row r="18" spans="1:11" x14ac:dyDescent="0.2">
      <c r="A18" s="38" t="s">
        <v>72</v>
      </c>
      <c r="B18" s="112">
        <v>64618347.062099397</v>
      </c>
      <c r="C18" s="112">
        <v>81311911.86140202</v>
      </c>
      <c r="D18" s="58">
        <v>0.79469718006683721</v>
      </c>
      <c r="E18" s="56">
        <v>0.43426958409388494</v>
      </c>
      <c r="F18" s="112">
        <v>-102846670.21453622</v>
      </c>
      <c r="G18" s="112">
        <v>232083364.33873501</v>
      </c>
      <c r="H18" s="112">
        <v>-102846670.21453622</v>
      </c>
      <c r="I18" s="118">
        <v>232083364.33873501</v>
      </c>
      <c r="J18" s="112"/>
      <c r="K18" s="112"/>
    </row>
    <row r="19" spans="1:11" ht="13.5" thickBot="1" x14ac:dyDescent="0.25">
      <c r="A19" s="33" t="s">
        <v>102</v>
      </c>
      <c r="B19" s="109">
        <v>5400148.1838296792</v>
      </c>
      <c r="C19" s="109">
        <v>2452971.1048744051</v>
      </c>
      <c r="D19" s="54">
        <v>2.2014723993685905</v>
      </c>
      <c r="E19" s="52">
        <v>3.7152841181124815E-2</v>
      </c>
      <c r="F19" s="109">
        <v>348159.6245509889</v>
      </c>
      <c r="G19" s="109">
        <v>10452136.743108369</v>
      </c>
      <c r="H19" s="109">
        <v>348159.6245509889</v>
      </c>
      <c r="I19" s="117">
        <v>10452136.743108369</v>
      </c>
      <c r="J19" s="112"/>
      <c r="K19" s="112"/>
    </row>
    <row r="22" spans="1:11" ht="13.5" thickBot="1" x14ac:dyDescent="0.25"/>
    <row r="23" spans="1:11" ht="13.5" thickBot="1" x14ac:dyDescent="0.25">
      <c r="A23" s="18" t="s">
        <v>39</v>
      </c>
      <c r="D23" s="153" t="s">
        <v>38</v>
      </c>
      <c r="E23" s="154"/>
    </row>
    <row r="24" spans="1:11" ht="13.5" thickBot="1" x14ac:dyDescent="0.25">
      <c r="D24" s="49">
        <f>D25/E25</f>
        <v>2.2026446149897492</v>
      </c>
      <c r="E24" s="116"/>
    </row>
    <row r="25" spans="1:11" s="40" customFormat="1" ht="39" thickBot="1" x14ac:dyDescent="0.25">
      <c r="A25" s="46" t="s">
        <v>37</v>
      </c>
      <c r="B25" s="46" t="s">
        <v>100</v>
      </c>
      <c r="C25" s="46" t="s">
        <v>35</v>
      </c>
      <c r="D25" s="132">
        <f>SUM(D26:D54)</f>
        <v>7.8798021151572E+16</v>
      </c>
      <c r="E25" s="132">
        <f>SUM(E26:E54)</f>
        <v>3.5774278163315384E+16</v>
      </c>
    </row>
    <row r="26" spans="1:11" x14ac:dyDescent="0.2">
      <c r="A26" s="63">
        <v>1</v>
      </c>
      <c r="B26" s="112">
        <v>38075070.965784624</v>
      </c>
      <c r="C26" s="112">
        <v>-35250926.965784654</v>
      </c>
      <c r="D26" s="131"/>
      <c r="E26" s="130">
        <f t="shared" ref="E26:E53" si="0">C26^2</f>
        <v>1242627851947083.7</v>
      </c>
    </row>
    <row r="27" spans="1:11" x14ac:dyDescent="0.2">
      <c r="A27" s="63">
        <v>2</v>
      </c>
      <c r="B27" s="112">
        <v>-9533219.6851681992</v>
      </c>
      <c r="C27" s="112">
        <v>64177377.685168289</v>
      </c>
      <c r="D27" s="129">
        <f t="shared" ref="D27:D53" si="1">(C27-C26)^2</f>
        <v>9885987765762710</v>
      </c>
      <c r="E27" s="128">
        <f t="shared" si="0"/>
        <v>4118735806544736.5</v>
      </c>
    </row>
    <row r="28" spans="1:11" x14ac:dyDescent="0.2">
      <c r="A28" s="63">
        <v>3</v>
      </c>
      <c r="B28" s="112">
        <v>57865980.673705846</v>
      </c>
      <c r="C28" s="112">
        <v>-32255722.673705965</v>
      </c>
      <c r="D28" s="129">
        <f t="shared" si="1"/>
        <v>9299342844824716</v>
      </c>
      <c r="E28" s="128">
        <f t="shared" si="0"/>
        <v>1040431645203029.1</v>
      </c>
    </row>
    <row r="29" spans="1:11" x14ac:dyDescent="0.2">
      <c r="A29" s="63">
        <v>4</v>
      </c>
      <c r="B29" s="112">
        <v>47490420.606059045</v>
      </c>
      <c r="C29" s="112">
        <v>-14118525.606058985</v>
      </c>
      <c r="D29" s="129">
        <f t="shared" si="1"/>
        <v>328957917470662.25</v>
      </c>
      <c r="E29" s="128">
        <f t="shared" si="0"/>
        <v>199332765288943.22</v>
      </c>
    </row>
    <row r="30" spans="1:11" x14ac:dyDescent="0.2">
      <c r="A30" s="63">
        <v>5</v>
      </c>
      <c r="B30" s="112">
        <v>46999204.323176041</v>
      </c>
      <c r="C30" s="112">
        <v>20379625.676823959</v>
      </c>
      <c r="D30" s="129">
        <f t="shared" si="1"/>
        <v>1190122441936678</v>
      </c>
      <c r="E30" s="128">
        <f t="shared" si="0"/>
        <v>415329142727462.37</v>
      </c>
    </row>
    <row r="31" spans="1:11" x14ac:dyDescent="0.2">
      <c r="A31" s="63">
        <v>6</v>
      </c>
      <c r="B31" s="112">
        <v>9424914.6983875558</v>
      </c>
      <c r="C31" s="112">
        <v>-17257655.698387615</v>
      </c>
      <c r="D31" s="129">
        <f t="shared" si="1"/>
        <v>1416564949316848</v>
      </c>
      <c r="E31" s="128">
        <f t="shared" si="0"/>
        <v>297826680204090.56</v>
      </c>
    </row>
    <row r="32" spans="1:11" x14ac:dyDescent="0.2">
      <c r="A32" s="63">
        <v>7</v>
      </c>
      <c r="B32" s="112">
        <v>40441957.864096962</v>
      </c>
      <c r="C32" s="112">
        <v>-43550808.864096843</v>
      </c>
      <c r="D32" s="129">
        <f t="shared" si="1"/>
        <v>691329903395445.12</v>
      </c>
      <c r="E32" s="128">
        <f t="shared" si="0"/>
        <v>1896672952717096.2</v>
      </c>
    </row>
    <row r="33" spans="1:5" x14ac:dyDescent="0.2">
      <c r="A33" s="63">
        <v>8</v>
      </c>
      <c r="B33" s="112">
        <v>56761848.435214169</v>
      </c>
      <c r="C33" s="112">
        <v>54223870.564785771</v>
      </c>
      <c r="D33" s="129">
        <f t="shared" si="1"/>
        <v>9559887937420760</v>
      </c>
      <c r="E33" s="128">
        <f t="shared" si="0"/>
        <v>2940228139026641</v>
      </c>
    </row>
    <row r="34" spans="1:5" x14ac:dyDescent="0.2">
      <c r="A34" s="63">
        <v>9</v>
      </c>
      <c r="B34" s="112">
        <v>56458190.279802315</v>
      </c>
      <c r="C34" s="112">
        <v>-30714243.279802196</v>
      </c>
      <c r="D34" s="129">
        <f t="shared" si="1"/>
        <v>7214483183476186</v>
      </c>
      <c r="E34" s="128">
        <f t="shared" si="0"/>
        <v>943364740250874.37</v>
      </c>
    </row>
    <row r="35" spans="1:5" x14ac:dyDescent="0.2">
      <c r="A35" s="63">
        <v>10</v>
      </c>
      <c r="B35" s="112">
        <v>21053648.918129355</v>
      </c>
      <c r="C35" s="112">
        <v>3947930.0818705261</v>
      </c>
      <c r="D35" s="129">
        <f t="shared" si="1"/>
        <v>1201466262154654</v>
      </c>
      <c r="E35" s="128">
        <f t="shared" si="0"/>
        <v>15586151931338.219</v>
      </c>
    </row>
    <row r="36" spans="1:5" x14ac:dyDescent="0.2">
      <c r="A36" s="63">
        <v>11</v>
      </c>
      <c r="B36" s="112">
        <v>43804952.268862836</v>
      </c>
      <c r="C36" s="112">
        <v>3941252.7311371639</v>
      </c>
      <c r="D36" s="129">
        <f t="shared" si="1"/>
        <v>44587012.816331886</v>
      </c>
      <c r="E36" s="128">
        <f t="shared" si="0"/>
        <v>15533473090696.154</v>
      </c>
    </row>
    <row r="37" spans="1:5" x14ac:dyDescent="0.2">
      <c r="A37" s="63">
        <v>12</v>
      </c>
      <c r="B37" s="112">
        <v>57352169.860933587</v>
      </c>
      <c r="C37" s="112">
        <v>7645705.1390665323</v>
      </c>
      <c r="D37" s="129">
        <f t="shared" si="1"/>
        <v>13722967642613.695</v>
      </c>
      <c r="E37" s="128">
        <f t="shared" si="0"/>
        <v>58456807073548.383</v>
      </c>
    </row>
    <row r="38" spans="1:5" x14ac:dyDescent="0.2">
      <c r="A38" s="63">
        <v>13</v>
      </c>
      <c r="B38" s="112">
        <v>16356566.93557781</v>
      </c>
      <c r="C38" s="112">
        <v>-7632752.935577929</v>
      </c>
      <c r="D38" s="129">
        <f t="shared" si="1"/>
        <v>233431281138668.53</v>
      </c>
      <c r="E38" s="128">
        <f t="shared" si="0"/>
        <v>58258917375573.492</v>
      </c>
    </row>
    <row r="39" spans="1:5" x14ac:dyDescent="0.2">
      <c r="A39" s="63">
        <v>14</v>
      </c>
      <c r="B39" s="112">
        <v>24371268.257104084</v>
      </c>
      <c r="C39" s="112">
        <v>-3655545.2571040839</v>
      </c>
      <c r="D39" s="129">
        <f t="shared" si="1"/>
        <v>15818180917711.312</v>
      </c>
      <c r="E39" s="128">
        <f t="shared" si="0"/>
        <v>13363011126736.162</v>
      </c>
    </row>
    <row r="40" spans="1:5" x14ac:dyDescent="0.2">
      <c r="A40" s="63">
        <v>15</v>
      </c>
      <c r="B40" s="112">
        <v>33485144.276868105</v>
      </c>
      <c r="C40" s="112">
        <v>-41083324.276868105</v>
      </c>
      <c r="D40" s="129">
        <f t="shared" si="1"/>
        <v>1400838642352287.7</v>
      </c>
      <c r="E40" s="128">
        <f t="shared" si="0"/>
        <v>1687839533638300.2</v>
      </c>
    </row>
    <row r="41" spans="1:5" x14ac:dyDescent="0.2">
      <c r="A41" s="63">
        <v>16</v>
      </c>
      <c r="B41" s="112">
        <v>26612704.159036852</v>
      </c>
      <c r="C41" s="112">
        <v>17742347.840963148</v>
      </c>
      <c r="D41" s="129">
        <f t="shared" si="1"/>
        <v>3460459700114589</v>
      </c>
      <c r="E41" s="128">
        <f t="shared" si="0"/>
        <v>314790906909729.69</v>
      </c>
    </row>
    <row r="42" spans="1:5" x14ac:dyDescent="0.2">
      <c r="A42" s="63">
        <v>17</v>
      </c>
      <c r="B42" s="112">
        <v>32853458.90886607</v>
      </c>
      <c r="C42" s="112">
        <v>14628447.09113393</v>
      </c>
      <c r="D42" s="129">
        <f t="shared" si="1"/>
        <v>9696377879786.9648</v>
      </c>
      <c r="E42" s="128">
        <f t="shared" si="0"/>
        <v>213991464298104.72</v>
      </c>
    </row>
    <row r="43" spans="1:5" x14ac:dyDescent="0.2">
      <c r="A43" s="63">
        <v>18</v>
      </c>
      <c r="B43" s="112">
        <v>24106076.731024653</v>
      </c>
      <c r="C43" s="112">
        <v>-69254278.731024653</v>
      </c>
      <c r="D43" s="129">
        <f t="shared" si="1"/>
        <v>7036311691355429</v>
      </c>
      <c r="E43" s="128">
        <f t="shared" si="0"/>
        <v>4796155122554454</v>
      </c>
    </row>
    <row r="44" spans="1:5" x14ac:dyDescent="0.2">
      <c r="A44" s="63">
        <v>19</v>
      </c>
      <c r="B44" s="112">
        <v>28404868.296807982</v>
      </c>
      <c r="C44" s="112">
        <v>-4801712.296807982</v>
      </c>
      <c r="D44" s="129">
        <f t="shared" si="1"/>
        <v>4154133319957113.5</v>
      </c>
      <c r="E44" s="128">
        <f t="shared" si="0"/>
        <v>23056440981316.984</v>
      </c>
    </row>
    <row r="45" spans="1:5" x14ac:dyDescent="0.2">
      <c r="A45" s="63">
        <v>20</v>
      </c>
      <c r="B45" s="112">
        <v>38674791.49985332</v>
      </c>
      <c r="C45" s="112">
        <v>2595033.5001466796</v>
      </c>
      <c r="D45" s="129">
        <f t="shared" si="1"/>
        <v>54711848384766.453</v>
      </c>
      <c r="E45" s="128">
        <f t="shared" si="0"/>
        <v>6734198866883.5264</v>
      </c>
    </row>
    <row r="46" spans="1:5" x14ac:dyDescent="0.2">
      <c r="A46" s="63">
        <v>21</v>
      </c>
      <c r="B46" s="112">
        <v>40450219.06449762</v>
      </c>
      <c r="C46" s="112">
        <v>-25068559.06449762</v>
      </c>
      <c r="D46" s="129">
        <f t="shared" si="1"/>
        <v>765274353582643.37</v>
      </c>
      <c r="E46" s="128">
        <f t="shared" si="0"/>
        <v>628432653570205.75</v>
      </c>
    </row>
    <row r="47" spans="1:5" x14ac:dyDescent="0.2">
      <c r="A47" s="63">
        <v>22</v>
      </c>
      <c r="B47" s="112">
        <v>30120085.177329957</v>
      </c>
      <c r="C47" s="112">
        <v>-41674941.177330077</v>
      </c>
      <c r="D47" s="129">
        <f t="shared" si="1"/>
        <v>275771926877401.78</v>
      </c>
      <c r="E47" s="128">
        <f t="shared" si="0"/>
        <v>1736800722133922</v>
      </c>
    </row>
    <row r="48" spans="1:5" x14ac:dyDescent="0.2">
      <c r="A48" s="63">
        <v>23</v>
      </c>
      <c r="B48" s="112">
        <v>27296117.052401051</v>
      </c>
      <c r="C48" s="112">
        <v>11097117.947599187</v>
      </c>
      <c r="D48" s="129">
        <f t="shared" si="1"/>
        <v>2784890224285030</v>
      </c>
      <c r="E48" s="128">
        <f t="shared" si="0"/>
        <v>123146026742928</v>
      </c>
    </row>
    <row r="49" spans="1:7" x14ac:dyDescent="0.2">
      <c r="A49" s="63">
        <v>24</v>
      </c>
      <c r="B49" s="112">
        <v>37609300.193261914</v>
      </c>
      <c r="C49" s="112">
        <v>-23030239.193262033</v>
      </c>
      <c r="D49" s="129">
        <f t="shared" si="1"/>
        <v>1164676505419891.2</v>
      </c>
      <c r="E49" s="128">
        <f t="shared" si="0"/>
        <v>530391917298862.69</v>
      </c>
    </row>
    <row r="50" spans="1:7" x14ac:dyDescent="0.2">
      <c r="A50" s="63">
        <v>25</v>
      </c>
      <c r="B50" s="112">
        <v>40122586.377518803</v>
      </c>
      <c r="C50" s="112">
        <v>50098635.622481197</v>
      </c>
      <c r="D50" s="129">
        <f t="shared" si="1"/>
        <v>5347832331816646</v>
      </c>
      <c r="E50" s="128">
        <f t="shared" si="0"/>
        <v>2509873291234142</v>
      </c>
    </row>
    <row r="51" spans="1:7" x14ac:dyDescent="0.2">
      <c r="A51" s="63">
        <v>26</v>
      </c>
      <c r="B51" s="112">
        <v>51406746.443701476</v>
      </c>
      <c r="C51" s="112">
        <v>22921418.556298524</v>
      </c>
      <c r="D51" s="129">
        <f t="shared" si="1"/>
        <v>738601127462410.75</v>
      </c>
      <c r="E51" s="128">
        <f t="shared" si="0"/>
        <v>525391428633026.31</v>
      </c>
    </row>
    <row r="52" spans="1:7" x14ac:dyDescent="0.2">
      <c r="A52" s="63">
        <v>27</v>
      </c>
      <c r="B52" s="112">
        <v>43601295.072742999</v>
      </c>
      <c r="C52" s="112">
        <v>94715338.927257001</v>
      </c>
      <c r="D52" s="129">
        <f t="shared" si="1"/>
        <v>5154367002231527</v>
      </c>
      <c r="E52" s="128">
        <f t="shared" si="0"/>
        <v>8970995428105165</v>
      </c>
    </row>
    <row r="53" spans="1:7" ht="13.5" thickBot="1" x14ac:dyDescent="0.25">
      <c r="A53" s="62">
        <v>28</v>
      </c>
      <c r="B53" s="109">
        <v>60080062.344422959</v>
      </c>
      <c r="C53" s="109">
        <v>21235134.655577041</v>
      </c>
      <c r="D53" s="129">
        <f t="shared" si="1"/>
        <v>5399340419807815</v>
      </c>
      <c r="E53" s="128">
        <f t="shared" si="0"/>
        <v>450930943840489.06</v>
      </c>
    </row>
    <row r="54" spans="1:7" ht="15.75" thickBot="1" x14ac:dyDescent="0.3">
      <c r="A54" s="62"/>
      <c r="B54" s="109"/>
      <c r="C54" s="109"/>
      <c r="D54" s="31"/>
      <c r="E54" s="30"/>
      <c r="G54" s="28"/>
    </row>
  </sheetData>
  <mergeCells count="1">
    <mergeCell ref="D23:E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22" baseType="lpstr">
      <vt:lpstr>Index</vt:lpstr>
      <vt:lpstr>Figure30p3</vt:lpstr>
      <vt:lpstr>Figure30.4</vt:lpstr>
      <vt:lpstr>Water&amp;Sewer</vt:lpstr>
      <vt:lpstr>W&amp;SDiffNoOutlier</vt:lpstr>
      <vt:lpstr>W&amp;SDifference</vt:lpstr>
      <vt:lpstr>Figure30p1</vt:lpstr>
      <vt:lpstr>Figure30.2</vt:lpstr>
      <vt:lpstr>Figure 30.20</vt:lpstr>
      <vt:lpstr>Figure30.21</vt:lpstr>
      <vt:lpstr>Figure30.27</vt:lpstr>
      <vt:lpstr>Figure30.28</vt:lpstr>
      <vt:lpstr>Figure30.29</vt:lpstr>
      <vt:lpstr>Figure30.3</vt:lpstr>
      <vt:lpstr>Figure30.35</vt:lpstr>
      <vt:lpstr>Figure30.37</vt:lpstr>
      <vt:lpstr>Figure30.38</vt:lpstr>
      <vt:lpstr>Figure30.39</vt:lpstr>
      <vt:lpstr>Figure30.4</vt:lpstr>
      <vt:lpstr>Figure30.40</vt:lpstr>
      <vt:lpstr>Figure30.41</vt:lpstr>
      <vt:lpstr>Figure30.42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2014-08-10T14:57:41Z</dcterms:created>
  <dcterms:modified xsi:type="dcterms:W3CDTF">2014-08-11T02:30:17Z</dcterms:modified>
</cp:coreProperties>
</file>